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D:\Y2023\"/>
    </mc:Choice>
  </mc:AlternateContent>
  <xr:revisionPtr revIDLastSave="0" documentId="13_ncr:1_{4566D9D8-9FA6-4B95-98FC-6DB754F1A6DE}" xr6:coauthVersionLast="47" xr6:coauthVersionMax="47" xr10:uidLastSave="{00000000-0000-0000-0000-000000000000}"/>
  <bookViews>
    <workbookView xWindow="-110" yWindow="-110" windowWidth="19420" windowHeight="10300" firstSheet="43" activeTab="53" xr2:uid="{00000000-000D-0000-FFFF-FFFF00000000}"/>
  </bookViews>
  <sheets>
    <sheet name="Sales Master" sheetId="7" r:id="rId1"/>
    <sheet name="Delivery Location" sheetId="6" r:id="rId2"/>
    <sheet name="#53" sheetId="248" r:id="rId3"/>
    <sheet name="#52 (2)" sheetId="247" r:id="rId4"/>
    <sheet name="#46" sheetId="244" r:id="rId5"/>
    <sheet name="#12" sheetId="243" r:id="rId6"/>
    <sheet name="#83" sheetId="120" r:id="rId7"/>
    <sheet name="#10" sheetId="240" r:id="rId8"/>
    <sheet name="#110" sheetId="179" r:id="rId9"/>
    <sheet name="#77" sheetId="56" r:id="rId10"/>
    <sheet name="#144" sheetId="231" r:id="rId11"/>
    <sheet name="#143" sheetId="226" r:id="rId12"/>
    <sheet name="#142" sheetId="224" r:id="rId13"/>
    <sheet name="#93" sheetId="101" r:id="rId14"/>
    <sheet name="顺兴 (S)" sheetId="228" r:id="rId15"/>
    <sheet name="顺兴 (Other)" sheetId="241" r:id="rId16"/>
    <sheet name="凉凉" sheetId="46" r:id="rId17"/>
    <sheet name="#116" sheetId="163" r:id="rId18"/>
    <sheet name="#03" sheetId="62" r:id="rId19"/>
    <sheet name="珍姐_x0009__x0009_" sheetId="45" r:id="rId20"/>
    <sheet name="#27" sheetId="60" r:id="rId21"/>
    <sheet name="#28" sheetId="81" r:id="rId22"/>
    <sheet name="#29" sheetId="55" r:id="rId23"/>
    <sheet name="#35" sheetId="71" r:id="rId24"/>
    <sheet name="#37" sheetId="111" r:id="rId25"/>
    <sheet name="#47" sheetId="79" r:id="rId26"/>
    <sheet name="#50" sheetId="110" r:id="rId27"/>
    <sheet name="#51" sheetId="76" r:id="rId28"/>
    <sheet name="#52" sheetId="77" r:id="rId29"/>
    <sheet name="#54" sheetId="65" r:id="rId30"/>
    <sheet name="#55" sheetId="64" r:id="rId31"/>
    <sheet name="#56" sheetId="70" r:id="rId32"/>
    <sheet name="#98" sheetId="113" r:id="rId33"/>
    <sheet name="#58" sheetId="93" r:id="rId34"/>
    <sheet name="#59" sheetId="91" r:id="rId35"/>
    <sheet name="#62" sheetId="61" r:id="rId36"/>
    <sheet name="#63" sheetId="119" r:id="rId37"/>
    <sheet name="#65" sheetId="242" r:id="rId38"/>
    <sheet name="#88" sheetId="157" r:id="rId39"/>
    <sheet name="#129" sheetId="183" r:id="rId40"/>
    <sheet name="#139" sheetId="216" r:id="rId41"/>
    <sheet name="#17" sheetId="85" r:id="rId42"/>
    <sheet name="#32" sheetId="132" r:id="rId43"/>
    <sheet name="#26" sheetId="130" r:id="rId44"/>
    <sheet name="#78" sheetId="47" r:id="rId45"/>
    <sheet name="#114" sheetId="160" r:id="rId46"/>
    <sheet name="#61" sheetId="50" r:id="rId47"/>
    <sheet name="#86" sheetId="116" r:id="rId48"/>
    <sheet name="#30" sheetId="131" r:id="rId49"/>
    <sheet name="#22" sheetId="98" r:id="rId50"/>
    <sheet name="#07" sheetId="104" r:id="rId51"/>
    <sheet name="#134" sheetId="195" r:id="rId52"/>
    <sheet name="#42" sheetId="52" r:id="rId53"/>
    <sheet name="#40" sheetId="87" r:id="rId54"/>
    <sheet name="#43" sheetId="95" r:id="rId55"/>
    <sheet name="#19" sheetId="99" r:id="rId56"/>
    <sheet name="#91" sheetId="106" r:id="rId57"/>
    <sheet name="#25" sheetId="100" r:id="rId58"/>
    <sheet name="#36" sheetId="86" r:id="rId59"/>
    <sheet name="#49" sheetId="92" r:id="rId60"/>
    <sheet name="#76" sheetId="83" r:id="rId61"/>
    <sheet name="#97" sheetId="230" r:id="rId62"/>
    <sheet name="#137" sheetId="202" r:id="rId63"/>
    <sheet name="#87" sheetId="145" r:id="rId64"/>
    <sheet name="#94" sheetId="121" r:id="rId65"/>
    <sheet name="#101" sheetId="69" r:id="rId66"/>
    <sheet name="#104" sheetId="146" r:id="rId67"/>
    <sheet name="#105" sheetId="147" r:id="rId68"/>
    <sheet name="#14" sheetId="94" r:id="rId69"/>
    <sheet name="#05" sheetId="219" r:id="rId70"/>
    <sheet name="#15" sheetId="78" r:id="rId71"/>
    <sheet name="#107" sheetId="150" r:id="rId72"/>
    <sheet name="#108" sheetId="152" r:id="rId73"/>
    <sheet name="#13" sheetId="128" r:id="rId74"/>
    <sheet name="#130" sheetId="185" r:id="rId75"/>
    <sheet name="#44" sheetId="90" r:id="rId76"/>
    <sheet name="#89" sheetId="144" r:id="rId77"/>
    <sheet name="#09" sheetId="88" r:id="rId78"/>
    <sheet name="#02" sheetId="235" r:id="rId79"/>
    <sheet name="#57" sheetId="135" r:id="rId80"/>
    <sheet name="#136" sheetId="214" r:id="rId81"/>
    <sheet name="#138" sheetId="203" r:id="rId82"/>
    <sheet name="#109" sheetId="190" r:id="rId83"/>
    <sheet name="#95" sheetId="181" r:id="rId84"/>
    <sheet name="#41" sheetId="49" r:id="rId85"/>
    <sheet name="#121" sheetId="232" r:id="rId86"/>
    <sheet name="#125" sheetId="176" r:id="rId87"/>
    <sheet name="#90" sheetId="74" r:id="rId88"/>
    <sheet name="#27 (2)" sheetId="234" r:id="rId89"/>
    <sheet name="#48" sheetId="97" r:id="rId90"/>
    <sheet name="#101 (2)" sheetId="238" r:id="rId91"/>
    <sheet name="#11" sheetId="117" r:id="rId92"/>
    <sheet name="#06" sheetId="126" r:id="rId93"/>
    <sheet name="#91 (2)" sheetId="225" r:id="rId94"/>
    <sheet name="#18" sheetId="68" r:id="rId95"/>
    <sheet name="118" sheetId="164" r:id="rId96"/>
    <sheet name="#120" sheetId="171" r:id="rId97"/>
    <sheet name="#71" sheetId="138" r:id="rId98"/>
    <sheet name="#75" sheetId="142" r:id="rId99"/>
    <sheet name="#113" sheetId="159" r:id="rId100"/>
    <sheet name="#34" sheetId="21" r:id="rId101"/>
    <sheet name="#74" sheetId="66" r:id="rId102"/>
    <sheet name="#99" sheetId="114" r:id="rId103"/>
    <sheet name="#80" sheetId="109" r:id="rId104"/>
    <sheet name="#39" sheetId="134" r:id="rId105"/>
    <sheet name="#102" sheetId="124" r:id="rId106"/>
    <sheet name="#38" sheetId="115" r:id="rId107"/>
    <sheet name="#83 (2)" sheetId="239" r:id="rId108"/>
    <sheet name="#103" sheetId="143" r:id="rId109"/>
    <sheet name="#92" sheetId="140" r:id="rId110"/>
    <sheet name="#16" sheetId="89" r:id="rId111"/>
    <sheet name="#31" sheetId="73" r:id="rId112"/>
    <sheet name="#79" sheetId="63" r:id="rId113"/>
    <sheet name="#112" sheetId="158" r:id="rId114"/>
    <sheet name="Micron" sheetId="82" r:id="rId115"/>
    <sheet name="#21" sheetId="129" r:id="rId116"/>
    <sheet name="#33" sheetId="133" r:id="rId117"/>
    <sheet name="#60" sheetId="136" r:id="rId118"/>
    <sheet name="#64" sheetId="137" r:id="rId119"/>
    <sheet name="#68" sheetId="154" r:id="rId120"/>
    <sheet name="#81" sheetId="139" r:id="rId121"/>
    <sheet name="#84" sheetId="155" r:id="rId122"/>
    <sheet name="#96" sheetId="141" r:id="rId123"/>
    <sheet name="#100" sheetId="118" r:id="rId124"/>
    <sheet name="源兴_x0009__x0009_" sheetId="44" r:id="rId125"/>
    <sheet name="#128" sheetId="189" r:id="rId126"/>
    <sheet name="#132" sheetId="188" r:id="rId127"/>
    <sheet name="#133" sheetId="191" r:id="rId128"/>
    <sheet name="#20" sheetId="53" r:id="rId129"/>
    <sheet name="WID#126" sheetId="177" r:id="rId130"/>
    <sheet name="Sheet1" sheetId="246" r:id="rId131"/>
  </sheets>
  <externalReferences>
    <externalReference r:id="rId132"/>
    <externalReference r:id="rId133"/>
  </externalReferences>
  <definedNames>
    <definedName name="_xlnm._FilterDatabase" localSheetId="1" hidden="1">'Delivery Location'!$A$3:$Y$144</definedName>
    <definedName name="_xlnm._FilterDatabase" localSheetId="0" hidden="1">'Sales Master'!$A$2:$FK$215</definedName>
    <definedName name="_xlnm.Print_Area" localSheetId="78">'#02'!$B$1:$L$46</definedName>
    <definedName name="_xlnm.Print_Area" localSheetId="18">'#03'!$B$1:$L$45</definedName>
    <definedName name="_xlnm.Print_Area" localSheetId="69">'#05'!$B$1:$L$46</definedName>
    <definedName name="_xlnm.Print_Area" localSheetId="92">'#06'!$B$1:$L$48</definedName>
    <definedName name="_xlnm.Print_Area" localSheetId="50">'#07'!$B$1:$L$42</definedName>
    <definedName name="_xlnm.Print_Area" localSheetId="77">'#09'!$B$1:$L$46</definedName>
    <definedName name="_xlnm.Print_Area" localSheetId="7">'#10'!$B$1:$L$47</definedName>
    <definedName name="_xlnm.Print_Area" localSheetId="123">'#100'!$B$1:$L$50</definedName>
    <definedName name="_xlnm.Print_Area" localSheetId="65">'#101'!$B$1:$L$52</definedName>
    <definedName name="_xlnm.Print_Area" localSheetId="90">'#101 (2)'!$B$1:$L$46</definedName>
    <definedName name="_xlnm.Print_Area" localSheetId="105">'#102'!$B$1:$L$47</definedName>
    <definedName name="_xlnm.Print_Area" localSheetId="108">'#103'!$B$1:$L$50</definedName>
    <definedName name="_xlnm.Print_Area" localSheetId="66">'#104'!$B$1:$L$43</definedName>
    <definedName name="_xlnm.Print_Area" localSheetId="67">'#105'!$B$1:$L$45</definedName>
    <definedName name="_xlnm.Print_Area" localSheetId="71">'#107'!$B$1:$L$41</definedName>
    <definedName name="_xlnm.Print_Area" localSheetId="72">'#108'!$B$1:$L$48</definedName>
    <definedName name="_xlnm.Print_Area" localSheetId="82">'#109'!$B$1:$L$48</definedName>
    <definedName name="_xlnm.Print_Area" localSheetId="91">'#11'!$B$1:$L$42</definedName>
    <definedName name="_xlnm.Print_Area" localSheetId="8">'#110'!$B$1:$L$38</definedName>
    <definedName name="_xlnm.Print_Area" localSheetId="113">'#112'!$B$1:$L$50</definedName>
    <definedName name="_xlnm.Print_Area" localSheetId="99">'#113'!$B$1:$L$43</definedName>
    <definedName name="_xlnm.Print_Area" localSheetId="45">'#114'!$B$1:$L$49</definedName>
    <definedName name="_xlnm.Print_Area" localSheetId="17">'#116'!$B$1:$L$41</definedName>
    <definedName name="_xlnm.Print_Area" localSheetId="5">'#12'!$B$1:$L$46</definedName>
    <definedName name="_xlnm.Print_Area" localSheetId="96">'#120'!$B$1:$L$49</definedName>
    <definedName name="_xlnm.Print_Area" localSheetId="85">'#121'!$B$1:$L$43</definedName>
    <definedName name="_xlnm.Print_Area" localSheetId="86">'#125'!$B$1:$L$48</definedName>
    <definedName name="_xlnm.Print_Area" localSheetId="125">'#128'!$B$1:$L$48</definedName>
    <definedName name="_xlnm.Print_Area" localSheetId="39">'#129'!$B$1:$L$42</definedName>
    <definedName name="_xlnm.Print_Area" localSheetId="73">'#13'!$B$1:$L$40</definedName>
    <definedName name="_xlnm.Print_Area" localSheetId="74">'#130'!$B$1:$L$42</definedName>
    <definedName name="_xlnm.Print_Area" localSheetId="126">'#132'!$B$1:$L$45</definedName>
    <definedName name="_xlnm.Print_Area" localSheetId="127">'#133'!$B$1:$L$46</definedName>
    <definedName name="_xlnm.Print_Area" localSheetId="51">'#134'!$B$1:$L$43</definedName>
    <definedName name="_xlnm.Print_Area" localSheetId="80">'#136'!$B$1:$L$43</definedName>
    <definedName name="_xlnm.Print_Area" localSheetId="62">'#137'!$B$1:$L$42</definedName>
    <definedName name="_xlnm.Print_Area" localSheetId="81">'#138'!$B$1:$L$41</definedName>
    <definedName name="_xlnm.Print_Area" localSheetId="40">'#139'!$B$1:$L$43</definedName>
    <definedName name="_xlnm.Print_Area" localSheetId="68">'#14'!$B$1:$L$42</definedName>
    <definedName name="_xlnm.Print_Area" localSheetId="12">'#142'!$B$1:$L$47</definedName>
    <definedName name="_xlnm.Print_Area" localSheetId="11">'#143'!$B$1:$L$46</definedName>
    <definedName name="_xlnm.Print_Area" localSheetId="10">'#144'!$B$1:$L$44</definedName>
    <definedName name="_xlnm.Print_Area" localSheetId="70">'#15'!$B$1:$L$51</definedName>
    <definedName name="_xlnm.Print_Area" localSheetId="110">'#16'!$B$1:$L$51</definedName>
    <definedName name="_xlnm.Print_Area" localSheetId="41">'#17'!$B$1:$L$46</definedName>
    <definedName name="_xlnm.Print_Area" localSheetId="94">'#18'!$B$1:$L$47</definedName>
    <definedName name="_xlnm.Print_Area" localSheetId="55">'#19'!$B$1:$L$41</definedName>
    <definedName name="_xlnm.Print_Area" localSheetId="128">'#20'!$B$1:$L$50</definedName>
    <definedName name="_xlnm.Print_Area" localSheetId="115">'#21'!$B$5:$L$45</definedName>
    <definedName name="_xlnm.Print_Area" localSheetId="49">'#22'!$B$1:$L$40</definedName>
    <definedName name="_xlnm.Print_Area" localSheetId="57">'#25'!$B$1:$L$42</definedName>
    <definedName name="_xlnm.Print_Area" localSheetId="43">'#26'!$B$1:$L$47</definedName>
    <definedName name="_xlnm.Print_Area" localSheetId="20">'#27'!$B$1:$L$49</definedName>
    <definedName name="_xlnm.Print_Area" localSheetId="88">'#27 (2)'!$B$1:$L$47</definedName>
    <definedName name="_xlnm.Print_Area" localSheetId="21">'#28'!$B$1:$L$41</definedName>
    <definedName name="_xlnm.Print_Area" localSheetId="22">'#29'!$B$1:$L$44</definedName>
    <definedName name="_xlnm.Print_Area" localSheetId="48">'#30'!$B$1:$L$42</definedName>
    <definedName name="_xlnm.Print_Area" localSheetId="111">'#31'!$B$1:$L$49</definedName>
    <definedName name="_xlnm.Print_Area" localSheetId="42">'#32'!$B$1:$L$45</definedName>
    <definedName name="_xlnm.Print_Area" localSheetId="116">'#33'!$B$5:$L$44</definedName>
    <definedName name="_xlnm.Print_Area" localSheetId="100">'#34'!$B$1:$L$43</definedName>
    <definedName name="_xlnm.Print_Area" localSheetId="23">'#35'!$B$1:$L$49</definedName>
    <definedName name="_xlnm.Print_Area" localSheetId="58">'#36'!$B$1:$L$45</definedName>
    <definedName name="_xlnm.Print_Area" localSheetId="24">'#37'!$B$1:$L$48</definedName>
    <definedName name="_xlnm.Print_Area" localSheetId="106">'#38'!$B$1:$L$38</definedName>
    <definedName name="_xlnm.Print_Area" localSheetId="104">'#39'!$B$1:$L$49</definedName>
    <definedName name="_xlnm.Print_Area" localSheetId="53">'#40'!$B$1:$L$55</definedName>
    <definedName name="_xlnm.Print_Area" localSheetId="84">'#41'!$B$1:$L$51</definedName>
    <definedName name="_xlnm.Print_Area" localSheetId="52">'#42'!$B$1:$L$40</definedName>
    <definedName name="_xlnm.Print_Area" localSheetId="54">'#43'!$B$1:$L$43</definedName>
    <definedName name="_xlnm.Print_Area" localSheetId="75">'#44'!$B$1:$L$46</definedName>
    <definedName name="_xlnm.Print_Area" localSheetId="4">'#46'!$B$1:$L$44</definedName>
    <definedName name="_xlnm.Print_Area" localSheetId="25">'#47'!$B$1:$L$48</definedName>
    <definedName name="_xlnm.Print_Area" localSheetId="89">'#48'!$B$1:$L$43</definedName>
    <definedName name="_xlnm.Print_Area" localSheetId="59">'#49'!$B$1:$L$44</definedName>
    <definedName name="_xlnm.Print_Area" localSheetId="26">'#50'!$B$1:$L$47</definedName>
    <definedName name="_xlnm.Print_Area" localSheetId="27">'#51'!$B$1:$L$56</definedName>
    <definedName name="_xlnm.Print_Area" localSheetId="28">'#52'!$B$1:$L$49</definedName>
    <definedName name="_xlnm.Print_Area" localSheetId="3">'#52 (2)'!$B$1:$L$50</definedName>
    <definedName name="_xlnm.Print_Area" localSheetId="2">'#53'!$B$1:$L$44</definedName>
    <definedName name="_xlnm.Print_Area" localSheetId="29">'#54'!$B$1:$L$44</definedName>
    <definedName name="_xlnm.Print_Area" localSheetId="30">'#55'!$B$1:$L$43</definedName>
    <definedName name="_xlnm.Print_Area" localSheetId="31">'#56'!$B$1:$L$40</definedName>
    <definedName name="_xlnm.Print_Area" localSheetId="79">'#57'!$B$1:$L$48</definedName>
    <definedName name="_xlnm.Print_Area" localSheetId="33">'#58'!$B$1:$L$49</definedName>
    <definedName name="_xlnm.Print_Area" localSheetId="34">'#59'!$B$1:$L$45</definedName>
    <definedName name="_xlnm.Print_Area" localSheetId="117">'#60'!$B$5:$L$44</definedName>
    <definedName name="_xlnm.Print_Area" localSheetId="46">'#61'!$B$1:$L$49</definedName>
    <definedName name="_xlnm.Print_Area" localSheetId="35">'#62'!$B$1:$L$48</definedName>
    <definedName name="_xlnm.Print_Area" localSheetId="36">'#63'!$B$1:$L$50</definedName>
    <definedName name="_xlnm.Print_Area" localSheetId="118">'#64'!$B$5:$L$46</definedName>
    <definedName name="_xlnm.Print_Area" localSheetId="37">'#65'!$B$1:$L$45</definedName>
    <definedName name="_xlnm.Print_Area" localSheetId="119">'#68'!$B$5:$L$46</definedName>
    <definedName name="_xlnm.Print_Area" localSheetId="97">'#71'!$B$1:$L$42</definedName>
    <definedName name="_xlnm.Print_Area" localSheetId="101">'#74'!$B$1:$L$43</definedName>
    <definedName name="_xlnm.Print_Area" localSheetId="98">'#75'!$B$1:$L$43</definedName>
    <definedName name="_xlnm.Print_Area" localSheetId="60">'#76'!$B$1:$L$50</definedName>
    <definedName name="_xlnm.Print_Area" localSheetId="9">'#77'!$B$1:$L$39</definedName>
    <definedName name="_xlnm.Print_Area" localSheetId="44">'#78'!$B$1:$L$46</definedName>
    <definedName name="_xlnm.Print_Area" localSheetId="112">'#79'!$B$1:$L$49</definedName>
    <definedName name="_xlnm.Print_Area" localSheetId="103">'#80'!$B$1:$L$49</definedName>
    <definedName name="_xlnm.Print_Area" localSheetId="120">'#81'!$B$5:$L$46</definedName>
    <definedName name="_xlnm.Print_Area" localSheetId="6">'#83'!$B$1:$L$57</definedName>
    <definedName name="_xlnm.Print_Area" localSheetId="107">'#83 (2)'!$B$1:$L$56</definedName>
    <definedName name="_xlnm.Print_Area" localSheetId="121">'#84'!$B$5:$L$47</definedName>
    <definedName name="_xlnm.Print_Area" localSheetId="47">'#86'!$B$1:$L$43</definedName>
    <definedName name="_xlnm.Print_Area" localSheetId="63">'#87'!$B$1:$L$46</definedName>
    <definedName name="_xlnm.Print_Area" localSheetId="38">'#88'!$B$1:$L$45</definedName>
    <definedName name="_xlnm.Print_Area" localSheetId="76">'#89'!$B$1:$L$42</definedName>
    <definedName name="_xlnm.Print_Area" localSheetId="87">'#90'!$B$1:$L$37</definedName>
    <definedName name="_xlnm.Print_Area" localSheetId="56">'#91'!$B$1:$L$42</definedName>
    <definedName name="_xlnm.Print_Area" localSheetId="93">'#91 (2)'!$B$1:$L$45</definedName>
    <definedName name="_xlnm.Print_Area" localSheetId="109">'#92'!$B$1:$L$50</definedName>
    <definedName name="_xlnm.Print_Area" localSheetId="13">'#93'!$B$1:$L$44</definedName>
    <definedName name="_xlnm.Print_Area" localSheetId="64">'#94'!$B$1:$L$45</definedName>
    <definedName name="_xlnm.Print_Area" localSheetId="83">'#95'!$B$1:$L$51</definedName>
    <definedName name="_xlnm.Print_Area" localSheetId="122">'#96'!$B$5:$L$45</definedName>
    <definedName name="_xlnm.Print_Area" localSheetId="61">'#97'!$B$1:$L$47</definedName>
    <definedName name="_xlnm.Print_Area" localSheetId="32">'#98'!$B$1:$L$46</definedName>
    <definedName name="_xlnm.Print_Area" localSheetId="102">'#99'!$B$1:$L$50</definedName>
    <definedName name="_xlnm.Print_Area" localSheetId="95">'118'!$B$1:$L$49</definedName>
    <definedName name="_xlnm.Print_Area" localSheetId="1">'Delivery Location'!$A$1:$P$140</definedName>
    <definedName name="_xlnm.Print_Area" localSheetId="114">Micron!$B$5:$L$44</definedName>
    <definedName name="_xlnm.Print_Area" localSheetId="0">'Sales Master'!$B$2:$EL$85</definedName>
    <definedName name="_xlnm.Print_Area" localSheetId="129">'WID#126'!$B$1:$L$48</definedName>
    <definedName name="_xlnm.Print_Area" localSheetId="16">凉凉!$B$1:$L$46</definedName>
    <definedName name="_xlnm.Print_Area" localSheetId="124">'源兴		'!$B$1:$L$43</definedName>
    <definedName name="_xlnm.Print_Area" localSheetId="19">'珍姐		'!$B$1:$L$45</definedName>
    <definedName name="_xlnm.Print_Area" localSheetId="15">'顺兴 (Other)'!$B$1:$L$46</definedName>
    <definedName name="_xlnm.Print_Area" localSheetId="14">'顺兴 (S)'!$B$1:$L$61</definedName>
    <definedName name="_xlnm.Print_Titles" localSheetId="0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30" i="79" l="1"/>
  <c r="K30" i="79"/>
  <c r="O30" i="79" s="1"/>
  <c r="P30" i="79" s="1"/>
  <c r="I30" i="79"/>
  <c r="H30" i="79"/>
  <c r="N29" i="79"/>
  <c r="K29" i="79"/>
  <c r="O29" i="79" s="1"/>
  <c r="P29" i="79" s="1"/>
  <c r="I29" i="79"/>
  <c r="H29" i="79"/>
  <c r="D30" i="79"/>
  <c r="D29" i="79"/>
  <c r="N28" i="79"/>
  <c r="K28" i="79"/>
  <c r="I28" i="79"/>
  <c r="H28" i="79"/>
  <c r="D28" i="79"/>
  <c r="I30" i="50"/>
  <c r="H30" i="50"/>
  <c r="D30" i="50"/>
  <c r="I29" i="50"/>
  <c r="H29" i="50"/>
  <c r="D29" i="50"/>
  <c r="N23" i="46"/>
  <c r="K23" i="46"/>
  <c r="L23" i="46" s="1"/>
  <c r="I23" i="46"/>
  <c r="H23" i="46"/>
  <c r="D23" i="46"/>
  <c r="N20" i="69"/>
  <c r="K20" i="69"/>
  <c r="I20" i="69"/>
  <c r="H20" i="69"/>
  <c r="N31" i="69"/>
  <c r="K31" i="69"/>
  <c r="O31" i="69" s="1"/>
  <c r="P31" i="69" s="1"/>
  <c r="I31" i="69"/>
  <c r="H31" i="69"/>
  <c r="N30" i="69"/>
  <c r="K30" i="69"/>
  <c r="L30" i="69" s="1"/>
  <c r="I30" i="69"/>
  <c r="H30" i="69"/>
  <c r="D20" i="69"/>
  <c r="D31" i="69"/>
  <c r="D30" i="69"/>
  <c r="N39" i="120"/>
  <c r="K39" i="120"/>
  <c r="I39" i="120"/>
  <c r="H39" i="120"/>
  <c r="D39" i="120"/>
  <c r="D18" i="163"/>
  <c r="D19" i="163"/>
  <c r="D20" i="163"/>
  <c r="D21" i="163"/>
  <c r="K21" i="163"/>
  <c r="N20" i="163"/>
  <c r="K20" i="163"/>
  <c r="I20" i="163"/>
  <c r="H20" i="163"/>
  <c r="N21" i="163"/>
  <c r="I21" i="163"/>
  <c r="H21" i="163"/>
  <c r="O28" i="79" l="1"/>
  <c r="P28" i="79" s="1"/>
  <c r="L30" i="79"/>
  <c r="L29" i="79"/>
  <c r="L28" i="79"/>
  <c r="O23" i="46"/>
  <c r="P23" i="46" s="1"/>
  <c r="O20" i="69"/>
  <c r="P20" i="69" s="1"/>
  <c r="L31" i="69"/>
  <c r="O30" i="69"/>
  <c r="P30" i="69" s="1"/>
  <c r="L20" i="69"/>
  <c r="O39" i="120"/>
  <c r="P39" i="120" s="1"/>
  <c r="L39" i="120"/>
  <c r="O20" i="163"/>
  <c r="P20" i="163" s="1"/>
  <c r="O21" i="163"/>
  <c r="P21" i="163" s="1"/>
  <c r="L20" i="163"/>
  <c r="L21" i="163"/>
  <c r="N27" i="93" l="1"/>
  <c r="K27" i="93"/>
  <c r="I27" i="93"/>
  <c r="H27" i="93"/>
  <c r="N25" i="93"/>
  <c r="K25" i="93"/>
  <c r="L25" i="93" s="1"/>
  <c r="I25" i="93"/>
  <c r="H25" i="93"/>
  <c r="N20" i="93"/>
  <c r="K20" i="93"/>
  <c r="L20" i="93" s="1"/>
  <c r="I20" i="93"/>
  <c r="H20" i="93"/>
  <c r="D27" i="93"/>
  <c r="D25" i="93"/>
  <c r="D20" i="93"/>
  <c r="H335" i="7"/>
  <c r="H418" i="7"/>
  <c r="H417" i="7"/>
  <c r="H412" i="7"/>
  <c r="H407" i="7"/>
  <c r="H406" i="7"/>
  <c r="H405" i="7"/>
  <c r="H408" i="7"/>
  <c r="O27" i="93" l="1"/>
  <c r="P27" i="93" s="1"/>
  <c r="L27" i="93"/>
  <c r="O25" i="93"/>
  <c r="P25" i="93" s="1"/>
  <c r="O20" i="93"/>
  <c r="P20" i="93" s="1"/>
  <c r="N38" i="228"/>
  <c r="K38" i="228"/>
  <c r="I38" i="228"/>
  <c r="H38" i="228"/>
  <c r="N34" i="228"/>
  <c r="K34" i="228"/>
  <c r="I34" i="228"/>
  <c r="H34" i="228"/>
  <c r="N30" i="228"/>
  <c r="K30" i="228"/>
  <c r="L30" i="228" s="1"/>
  <c r="I30" i="228"/>
  <c r="H30" i="228"/>
  <c r="D38" i="228"/>
  <c r="D34" i="228"/>
  <c r="D30" i="228"/>
  <c r="N27" i="76"/>
  <c r="K27" i="76"/>
  <c r="I27" i="76"/>
  <c r="H27" i="76"/>
  <c r="N24" i="76"/>
  <c r="K24" i="76"/>
  <c r="I24" i="76"/>
  <c r="H24" i="76"/>
  <c r="D27" i="76"/>
  <c r="D24" i="76"/>
  <c r="K22" i="65"/>
  <c r="I22" i="65"/>
  <c r="H22" i="65"/>
  <c r="D22" i="65"/>
  <c r="K25" i="110"/>
  <c r="I25" i="110"/>
  <c r="H25" i="110"/>
  <c r="K24" i="110"/>
  <c r="L24" i="110" s="1"/>
  <c r="I24" i="110"/>
  <c r="H24" i="110"/>
  <c r="K26" i="110"/>
  <c r="L26" i="110" s="1"/>
  <c r="I26" i="110"/>
  <c r="H26" i="110"/>
  <c r="D25" i="110"/>
  <c r="D24" i="110"/>
  <c r="D26" i="110"/>
  <c r="N37" i="248"/>
  <c r="R18" i="248"/>
  <c r="S18" i="248" s="1"/>
  <c r="K18" i="248"/>
  <c r="I18" i="248"/>
  <c r="H18" i="248"/>
  <c r="D18" i="248"/>
  <c r="N15" i="248"/>
  <c r="O15" i="248" s="1"/>
  <c r="F11" i="248"/>
  <c r="O34" i="228" l="1"/>
  <c r="P34" i="228" s="1"/>
  <c r="O38" i="228"/>
  <c r="P38" i="228" s="1"/>
  <c r="O24" i="76"/>
  <c r="P24" i="76" s="1"/>
  <c r="L34" i="228"/>
  <c r="O30" i="228"/>
  <c r="P30" i="228" s="1"/>
  <c r="L38" i="228"/>
  <c r="O27" i="76"/>
  <c r="P27" i="76" s="1"/>
  <c r="L27" i="76"/>
  <c r="L24" i="76"/>
  <c r="L22" i="65"/>
  <c r="L25" i="110"/>
  <c r="L18" i="248"/>
  <c r="L32" i="248" s="1"/>
  <c r="K32" i="228"/>
  <c r="I32" i="228"/>
  <c r="H32" i="228"/>
  <c r="D32" i="228"/>
  <c r="L34" i="248" l="1"/>
  <c r="L32" i="228"/>
  <c r="K26" i="60"/>
  <c r="I26" i="60"/>
  <c r="H26" i="60"/>
  <c r="D26" i="60"/>
  <c r="H19" i="121"/>
  <c r="K21" i="92"/>
  <c r="I21" i="92"/>
  <c r="H21" i="92"/>
  <c r="K20" i="92"/>
  <c r="I20" i="92"/>
  <c r="H20" i="92"/>
  <c r="D21" i="92"/>
  <c r="D20" i="92"/>
  <c r="K33" i="228"/>
  <c r="I33" i="228"/>
  <c r="H33" i="228"/>
  <c r="K31" i="228"/>
  <c r="L31" i="228" s="1"/>
  <c r="I31" i="228"/>
  <c r="H31" i="228"/>
  <c r="D33" i="228"/>
  <c r="D31" i="228"/>
  <c r="I31" i="219"/>
  <c r="H31" i="219"/>
  <c r="D31" i="219"/>
  <c r="I25" i="163"/>
  <c r="H25" i="163"/>
  <c r="D25" i="163"/>
  <c r="K26" i="219"/>
  <c r="I26" i="219"/>
  <c r="H26" i="219"/>
  <c r="D26" i="219"/>
  <c r="K21" i="68"/>
  <c r="I21" i="68"/>
  <c r="H21" i="68"/>
  <c r="D21" i="68"/>
  <c r="K20" i="68"/>
  <c r="I20" i="68"/>
  <c r="H20" i="68"/>
  <c r="K19" i="68"/>
  <c r="I19" i="68"/>
  <c r="H19" i="68"/>
  <c r="D20" i="68"/>
  <c r="D19" i="68"/>
  <c r="K25" i="77"/>
  <c r="I25" i="77"/>
  <c r="H25" i="77"/>
  <c r="K26" i="77"/>
  <c r="I26" i="77"/>
  <c r="H26" i="77"/>
  <c r="K21" i="77"/>
  <c r="L21" i="77" s="1"/>
  <c r="I21" i="77"/>
  <c r="H21" i="77"/>
  <c r="K20" i="77"/>
  <c r="L20" i="77" s="1"/>
  <c r="I20" i="77"/>
  <c r="H20" i="77"/>
  <c r="D25" i="77"/>
  <c r="D26" i="77"/>
  <c r="D21" i="77"/>
  <c r="D20" i="77"/>
  <c r="K21" i="132"/>
  <c r="I21" i="132"/>
  <c r="H21" i="132"/>
  <c r="D21" i="132"/>
  <c r="L35" i="248" l="1"/>
  <c r="L33" i="248" s="1"/>
  <c r="L26" i="60"/>
  <c r="L20" i="92"/>
  <c r="L21" i="92"/>
  <c r="L33" i="228"/>
  <c r="L26" i="219"/>
  <c r="L21" i="68"/>
  <c r="L20" i="68"/>
  <c r="L19" i="68"/>
  <c r="L26" i="77"/>
  <c r="L25" i="77"/>
  <c r="L21" i="132"/>
  <c r="L36" i="248" l="1"/>
  <c r="K21" i="110"/>
  <c r="L21" i="110" s="1"/>
  <c r="I21" i="110"/>
  <c r="H21" i="110"/>
  <c r="D21" i="110"/>
  <c r="K19" i="64"/>
  <c r="I19" i="64"/>
  <c r="H19" i="64"/>
  <c r="D19" i="64"/>
  <c r="K19" i="70"/>
  <c r="L19" i="70" s="1"/>
  <c r="I19" i="70"/>
  <c r="H19" i="70"/>
  <c r="H24" i="70"/>
  <c r="I24" i="70"/>
  <c r="D19" i="70"/>
  <c r="I33" i="77"/>
  <c r="H33" i="77"/>
  <c r="D33" i="77"/>
  <c r="K24" i="71"/>
  <c r="L24" i="71" s="1"/>
  <c r="I24" i="71"/>
  <c r="H24" i="71"/>
  <c r="K23" i="71"/>
  <c r="I23" i="71"/>
  <c r="H23" i="71"/>
  <c r="K22" i="71"/>
  <c r="I22" i="71"/>
  <c r="H22" i="71"/>
  <c r="K21" i="71"/>
  <c r="L21" i="71" s="1"/>
  <c r="I21" i="71"/>
  <c r="H21" i="71"/>
  <c r="K20" i="71"/>
  <c r="I20" i="71"/>
  <c r="H20" i="71"/>
  <c r="K19" i="71"/>
  <c r="I19" i="71"/>
  <c r="H19" i="71"/>
  <c r="D24" i="71"/>
  <c r="D23" i="71"/>
  <c r="D22" i="71"/>
  <c r="D21" i="71"/>
  <c r="D20" i="71"/>
  <c r="D19" i="71"/>
  <c r="I26" i="116"/>
  <c r="H26" i="116"/>
  <c r="D26" i="116"/>
  <c r="I43" i="228"/>
  <c r="H43" i="228"/>
  <c r="D43" i="228"/>
  <c r="L19" i="64" l="1"/>
  <c r="L23" i="71"/>
  <c r="L22" i="71"/>
  <c r="L20" i="71"/>
  <c r="L19" i="71"/>
  <c r="I35" i="247"/>
  <c r="H35" i="247"/>
  <c r="D35" i="247"/>
  <c r="I34" i="247"/>
  <c r="H34" i="247"/>
  <c r="D34" i="247"/>
  <c r="I33" i="247"/>
  <c r="H33" i="247"/>
  <c r="D33" i="247"/>
  <c r="K27" i="247"/>
  <c r="I27" i="247"/>
  <c r="H27" i="247"/>
  <c r="D27" i="247"/>
  <c r="K26" i="247"/>
  <c r="I26" i="247"/>
  <c r="H26" i="247"/>
  <c r="D26" i="247"/>
  <c r="K25" i="247"/>
  <c r="I25" i="247"/>
  <c r="H25" i="247"/>
  <c r="D25" i="247"/>
  <c r="K24" i="247"/>
  <c r="I24" i="247"/>
  <c r="H24" i="247"/>
  <c r="D24" i="247"/>
  <c r="K23" i="247"/>
  <c r="I23" i="247"/>
  <c r="H23" i="247"/>
  <c r="D23" i="247"/>
  <c r="K22" i="247"/>
  <c r="I22" i="247"/>
  <c r="H22" i="247"/>
  <c r="D22" i="247"/>
  <c r="K21" i="247"/>
  <c r="I21" i="247"/>
  <c r="H21" i="247"/>
  <c r="D21" i="247"/>
  <c r="K20" i="247"/>
  <c r="I20" i="247"/>
  <c r="H20" i="247"/>
  <c r="D20" i="247"/>
  <c r="K19" i="247"/>
  <c r="I19" i="247"/>
  <c r="H19" i="247"/>
  <c r="D19" i="247"/>
  <c r="K18" i="247"/>
  <c r="I18" i="247"/>
  <c r="H18" i="247"/>
  <c r="D18" i="247"/>
  <c r="F11" i="247"/>
  <c r="L18" i="247" l="1"/>
  <c r="L19" i="247"/>
  <c r="L20" i="247"/>
  <c r="L21" i="247"/>
  <c r="L22" i="247"/>
  <c r="L23" i="247"/>
  <c r="L24" i="247"/>
  <c r="L25" i="247"/>
  <c r="L26" i="247"/>
  <c r="L27" i="247"/>
  <c r="L38" i="247" l="1"/>
  <c r="L40" i="247" s="1"/>
  <c r="L41" i="247" l="1"/>
  <c r="L39" i="247" s="1"/>
  <c r="L42" i="247" l="1"/>
  <c r="K27" i="79" l="1"/>
  <c r="I27" i="79"/>
  <c r="H27" i="79"/>
  <c r="K26" i="79"/>
  <c r="I26" i="79"/>
  <c r="H26" i="79"/>
  <c r="K25" i="79"/>
  <c r="L25" i="79" s="1"/>
  <c r="I25" i="79"/>
  <c r="H25" i="79"/>
  <c r="K24" i="79"/>
  <c r="L24" i="79" s="1"/>
  <c r="I24" i="79"/>
  <c r="H24" i="79"/>
  <c r="K23" i="79"/>
  <c r="I23" i="79"/>
  <c r="H23" i="79"/>
  <c r="K22" i="79"/>
  <c r="I22" i="79"/>
  <c r="H22" i="79"/>
  <c r="D27" i="79"/>
  <c r="D26" i="79"/>
  <c r="D25" i="79"/>
  <c r="D24" i="79"/>
  <c r="D23" i="79"/>
  <c r="D22" i="79"/>
  <c r="L26" i="79" l="1"/>
  <c r="L23" i="79"/>
  <c r="L22" i="79"/>
  <c r="L27" i="79"/>
  <c r="K24" i="77" l="1"/>
  <c r="L24" i="77" s="1"/>
  <c r="I24" i="77"/>
  <c r="H24" i="77"/>
  <c r="K19" i="77"/>
  <c r="L19" i="77" s="1"/>
  <c r="I19" i="77"/>
  <c r="H19" i="77"/>
  <c r="K22" i="77"/>
  <c r="I22" i="77"/>
  <c r="H22" i="77"/>
  <c r="D24" i="77"/>
  <c r="D19" i="77"/>
  <c r="D22" i="77"/>
  <c r="L22" i="77" l="1"/>
  <c r="K24" i="69" l="1"/>
  <c r="L24" i="69" s="1"/>
  <c r="I24" i="69"/>
  <c r="H24" i="69"/>
  <c r="K26" i="69"/>
  <c r="I26" i="69"/>
  <c r="H26" i="69"/>
  <c r="D24" i="69"/>
  <c r="D26" i="69"/>
  <c r="K31" i="120"/>
  <c r="I31" i="120"/>
  <c r="H31" i="120"/>
  <c r="K37" i="120"/>
  <c r="L37" i="120" s="1"/>
  <c r="I37" i="120"/>
  <c r="H37" i="120"/>
  <c r="K26" i="120"/>
  <c r="L26" i="120" s="1"/>
  <c r="I26" i="120"/>
  <c r="H26" i="120"/>
  <c r="K34" i="120"/>
  <c r="L34" i="120" s="1"/>
  <c r="I34" i="120"/>
  <c r="H34" i="120"/>
  <c r="D31" i="120"/>
  <c r="D37" i="120"/>
  <c r="D26" i="120"/>
  <c r="D34" i="120"/>
  <c r="K35" i="120"/>
  <c r="L35" i="120" s="1"/>
  <c r="I35" i="120"/>
  <c r="H35" i="120"/>
  <c r="K24" i="120"/>
  <c r="I24" i="120"/>
  <c r="H24" i="120"/>
  <c r="K29" i="120"/>
  <c r="L29" i="120" s="1"/>
  <c r="I29" i="120"/>
  <c r="H29" i="120"/>
  <c r="K20" i="120"/>
  <c r="L20" i="120" s="1"/>
  <c r="I20" i="120"/>
  <c r="H20" i="120"/>
  <c r="K36" i="120"/>
  <c r="I36" i="120"/>
  <c r="H36" i="120"/>
  <c r="K28" i="120"/>
  <c r="L28" i="120" s="1"/>
  <c r="I28" i="120"/>
  <c r="H28" i="120"/>
  <c r="K33" i="120"/>
  <c r="L33" i="120" s="1"/>
  <c r="I33" i="120"/>
  <c r="H33" i="120"/>
  <c r="K32" i="120"/>
  <c r="L32" i="120" s="1"/>
  <c r="I32" i="120"/>
  <c r="H32" i="120"/>
  <c r="K22" i="120"/>
  <c r="L22" i="120" s="1"/>
  <c r="I22" i="120"/>
  <c r="H22" i="120"/>
  <c r="K30" i="120"/>
  <c r="L30" i="120" s="1"/>
  <c r="I30" i="120"/>
  <c r="H30" i="120"/>
  <c r="K19" i="120"/>
  <c r="L19" i="120" s="1"/>
  <c r="I19" i="120"/>
  <c r="H19" i="120"/>
  <c r="D35" i="120"/>
  <c r="D24" i="120"/>
  <c r="D29" i="120"/>
  <c r="D20" i="120"/>
  <c r="D36" i="120"/>
  <c r="D28" i="120"/>
  <c r="D33" i="120"/>
  <c r="D32" i="120"/>
  <c r="D22" i="120"/>
  <c r="D30" i="120"/>
  <c r="D19" i="120"/>
  <c r="H268" i="7"/>
  <c r="L26" i="69" l="1"/>
  <c r="L31" i="120"/>
  <c r="L24" i="120"/>
  <c r="L36" i="120"/>
  <c r="I46" i="228" l="1"/>
  <c r="H46" i="228"/>
  <c r="D46" i="228"/>
  <c r="I45" i="228"/>
  <c r="D45" i="228"/>
  <c r="I44" i="228"/>
  <c r="H44" i="228"/>
  <c r="D44" i="228"/>
  <c r="I29" i="241"/>
  <c r="H29" i="241"/>
  <c r="D29" i="241"/>
  <c r="K21" i="230" l="1"/>
  <c r="I21" i="230"/>
  <c r="H21" i="230"/>
  <c r="K22" i="230"/>
  <c r="I22" i="230"/>
  <c r="H22" i="230"/>
  <c r="D21" i="230"/>
  <c r="D22" i="230"/>
  <c r="K19" i="46"/>
  <c r="I19" i="46"/>
  <c r="H19" i="46"/>
  <c r="D19" i="46"/>
  <c r="K20" i="46"/>
  <c r="I20" i="46"/>
  <c r="H20" i="46"/>
  <c r="D20" i="46"/>
  <c r="I30" i="85"/>
  <c r="H30" i="85"/>
  <c r="D30" i="85"/>
  <c r="K26" i="93"/>
  <c r="L26" i="93" s="1"/>
  <c r="I26" i="93"/>
  <c r="H26" i="93"/>
  <c r="D26" i="93"/>
  <c r="K25" i="120"/>
  <c r="L25" i="120" s="1"/>
  <c r="I25" i="120"/>
  <c r="H25" i="120"/>
  <c r="D25" i="120"/>
  <c r="I39" i="87"/>
  <c r="H39" i="87"/>
  <c r="D39" i="87"/>
  <c r="K22" i="61"/>
  <c r="I22" i="61"/>
  <c r="H22" i="61"/>
  <c r="K21" i="61"/>
  <c r="L21" i="61" s="1"/>
  <c r="I21" i="61"/>
  <c r="H21" i="61"/>
  <c r="D22" i="61"/>
  <c r="D21" i="61"/>
  <c r="K35" i="228"/>
  <c r="I35" i="228"/>
  <c r="H35" i="228"/>
  <c r="K36" i="228"/>
  <c r="L36" i="228" s="1"/>
  <c r="I36" i="228"/>
  <c r="H36" i="228"/>
  <c r="K37" i="228"/>
  <c r="L37" i="228" s="1"/>
  <c r="I37" i="228"/>
  <c r="H37" i="228"/>
  <c r="D35" i="228"/>
  <c r="D36" i="228"/>
  <c r="D37" i="228"/>
  <c r="L21" i="230" l="1"/>
  <c r="L22" i="230"/>
  <c r="L19" i="46"/>
  <c r="L20" i="46"/>
  <c r="L22" i="61"/>
  <c r="L35" i="228"/>
  <c r="K21" i="152" l="1"/>
  <c r="I21" i="152"/>
  <c r="H21" i="152"/>
  <c r="D21" i="152"/>
  <c r="K22" i="46"/>
  <c r="L22" i="46" s="1"/>
  <c r="I22" i="46"/>
  <c r="H22" i="46"/>
  <c r="D22" i="46"/>
  <c r="L21" i="152" l="1"/>
  <c r="I30" i="241" l="1"/>
  <c r="D30" i="241"/>
  <c r="I31" i="241"/>
  <c r="H31" i="241"/>
  <c r="D31" i="241"/>
  <c r="H20" i="126"/>
  <c r="H19" i="126"/>
  <c r="H21" i="126"/>
  <c r="H18" i="126"/>
  <c r="K23" i="120"/>
  <c r="L23" i="120" s="1"/>
  <c r="I23" i="120"/>
  <c r="H23" i="120"/>
  <c r="K27" i="120"/>
  <c r="I27" i="120"/>
  <c r="H27" i="120"/>
  <c r="K21" i="120"/>
  <c r="I21" i="120"/>
  <c r="H21" i="120"/>
  <c r="D23" i="120"/>
  <c r="D27" i="120"/>
  <c r="D21" i="120"/>
  <c r="I24" i="52"/>
  <c r="H24" i="52"/>
  <c r="D24" i="52"/>
  <c r="L27" i="120" l="1"/>
  <c r="L21" i="120"/>
  <c r="K22" i="78" l="1"/>
  <c r="I22" i="78"/>
  <c r="H22" i="78"/>
  <c r="D22" i="78"/>
  <c r="L22" i="78" l="1"/>
  <c r="K21" i="93" l="1"/>
  <c r="I21" i="93"/>
  <c r="H21" i="93"/>
  <c r="D21" i="93"/>
  <c r="K19" i="113"/>
  <c r="I19" i="113"/>
  <c r="H19" i="113"/>
  <c r="D19" i="113"/>
  <c r="L21" i="93" l="1"/>
  <c r="L19" i="113"/>
  <c r="I31" i="126" l="1"/>
  <c r="H31" i="126"/>
  <c r="I30" i="126"/>
  <c r="H30" i="126"/>
  <c r="D31" i="126"/>
  <c r="D30" i="126"/>
  <c r="K20" i="126"/>
  <c r="I20" i="126"/>
  <c r="K19" i="126"/>
  <c r="I19" i="126"/>
  <c r="K21" i="126"/>
  <c r="I21" i="126"/>
  <c r="FA430" i="7"/>
  <c r="L20" i="126" l="1"/>
  <c r="L19" i="126"/>
  <c r="L21" i="126"/>
  <c r="K30" i="76"/>
  <c r="L30" i="76" s="1"/>
  <c r="I30" i="76"/>
  <c r="H30" i="76"/>
  <c r="D30" i="76"/>
  <c r="D20" i="126"/>
  <c r="H67" i="7" l="1"/>
  <c r="H66" i="7"/>
  <c r="K25" i="50" l="1"/>
  <c r="I25" i="50"/>
  <c r="H25" i="50"/>
  <c r="K24" i="50"/>
  <c r="I24" i="50"/>
  <c r="H24" i="50"/>
  <c r="D25" i="50"/>
  <c r="D24" i="50"/>
  <c r="L25" i="50" l="1"/>
  <c r="L24" i="50"/>
  <c r="K28" i="93" l="1"/>
  <c r="I28" i="93"/>
  <c r="H28" i="93"/>
  <c r="K29" i="93"/>
  <c r="L29" i="93" s="1"/>
  <c r="I29" i="93"/>
  <c r="H29" i="93"/>
  <c r="D28" i="93"/>
  <c r="D29" i="93"/>
  <c r="K21" i="65"/>
  <c r="I21" i="65"/>
  <c r="H21" i="65"/>
  <c r="D21" i="65"/>
  <c r="L28" i="93" l="1"/>
  <c r="L21" i="65"/>
  <c r="K21" i="85" l="1"/>
  <c r="I21" i="85"/>
  <c r="H21" i="85"/>
  <c r="D21" i="85"/>
  <c r="K20" i="230"/>
  <c r="I20" i="230"/>
  <c r="H20" i="230"/>
  <c r="D20" i="230"/>
  <c r="L21" i="85" l="1"/>
  <c r="L20" i="230"/>
  <c r="K20" i="104" l="1"/>
  <c r="I20" i="104"/>
  <c r="H20" i="104"/>
  <c r="D20" i="104"/>
  <c r="K32" i="78"/>
  <c r="I32" i="78"/>
  <c r="H32" i="78"/>
  <c r="D32" i="78"/>
  <c r="I40" i="76"/>
  <c r="H40" i="76"/>
  <c r="D40" i="76"/>
  <c r="I39" i="76"/>
  <c r="H39" i="76"/>
  <c r="D39" i="76"/>
  <c r="I38" i="76"/>
  <c r="H38" i="76"/>
  <c r="D38" i="76"/>
  <c r="I37" i="76"/>
  <c r="H37" i="76"/>
  <c r="D37" i="76"/>
  <c r="I36" i="76"/>
  <c r="H36" i="76"/>
  <c r="D36" i="76"/>
  <c r="L20" i="104" l="1"/>
  <c r="L32" i="78"/>
  <c r="K22" i="240" l="1"/>
  <c r="I22" i="240"/>
  <c r="H22" i="240"/>
  <c r="K21" i="240"/>
  <c r="I21" i="240"/>
  <c r="H21" i="240"/>
  <c r="K20" i="240"/>
  <c r="L20" i="240" s="1"/>
  <c r="I20" i="240"/>
  <c r="H20" i="240"/>
  <c r="K19" i="240"/>
  <c r="L19" i="240" s="1"/>
  <c r="I19" i="240"/>
  <c r="H19" i="240"/>
  <c r="D22" i="240"/>
  <c r="D21" i="240"/>
  <c r="D20" i="240"/>
  <c r="D19" i="240"/>
  <c r="L21" i="240" l="1"/>
  <c r="L22" i="240"/>
  <c r="K23" i="77" l="1"/>
  <c r="I23" i="77"/>
  <c r="H23" i="77"/>
  <c r="D23" i="77"/>
  <c r="K20" i="65"/>
  <c r="L20" i="65" s="1"/>
  <c r="I20" i="65"/>
  <c r="H20" i="65"/>
  <c r="L23" i="77" l="1"/>
  <c r="I35" i="69" l="1"/>
  <c r="H35" i="69"/>
  <c r="D35" i="69"/>
  <c r="K25" i="69"/>
  <c r="L25" i="69" s="1"/>
  <c r="I25" i="69"/>
  <c r="H25" i="69"/>
  <c r="K21" i="69"/>
  <c r="L21" i="69" s="1"/>
  <c r="I21" i="69"/>
  <c r="H21" i="69"/>
  <c r="K27" i="69"/>
  <c r="L27" i="69" s="1"/>
  <c r="I27" i="69"/>
  <c r="H27" i="69"/>
  <c r="D25" i="69"/>
  <c r="D21" i="69"/>
  <c r="D27" i="69"/>
  <c r="K20" i="60" l="1"/>
  <c r="I20" i="60"/>
  <c r="H20" i="60"/>
  <c r="K21" i="60"/>
  <c r="L21" i="60" s="1"/>
  <c r="I21" i="60"/>
  <c r="H21" i="60"/>
  <c r="D20" i="60"/>
  <c r="D21" i="60"/>
  <c r="K29" i="78"/>
  <c r="I29" i="78"/>
  <c r="H29" i="78"/>
  <c r="D29" i="78"/>
  <c r="K28" i="76"/>
  <c r="I28" i="76"/>
  <c r="H28" i="76"/>
  <c r="K19" i="76"/>
  <c r="L19" i="76" s="1"/>
  <c r="I19" i="76"/>
  <c r="H19" i="76"/>
  <c r="K20" i="76"/>
  <c r="L20" i="76" s="1"/>
  <c r="I20" i="76"/>
  <c r="H20" i="76"/>
  <c r="K26" i="76"/>
  <c r="I26" i="76"/>
  <c r="H26" i="76"/>
  <c r="D28" i="76"/>
  <c r="D19" i="76"/>
  <c r="D20" i="76"/>
  <c r="D26" i="76"/>
  <c r="L20" i="60" l="1"/>
  <c r="L29" i="78"/>
  <c r="L26" i="76"/>
  <c r="L28" i="76"/>
  <c r="D19" i="104" l="1"/>
  <c r="K21" i="46"/>
  <c r="L21" i="46" s="1"/>
  <c r="I21" i="46"/>
  <c r="H21" i="46"/>
  <c r="D21" i="46"/>
  <c r="I26" i="94" l="1"/>
  <c r="H26" i="94"/>
  <c r="D26" i="94"/>
  <c r="K19" i="94"/>
  <c r="I19" i="94"/>
  <c r="H19" i="94"/>
  <c r="L19" i="94" l="1"/>
  <c r="K22" i="69" l="1"/>
  <c r="I22" i="69"/>
  <c r="H22" i="69"/>
  <c r="D22" i="69"/>
  <c r="K23" i="110"/>
  <c r="L23" i="110" s="1"/>
  <c r="I23" i="110"/>
  <c r="H23" i="110"/>
  <c r="D23" i="110"/>
  <c r="L22" i="69" l="1"/>
  <c r="K23" i="76" l="1"/>
  <c r="I23" i="76"/>
  <c r="H23" i="76"/>
  <c r="K25" i="76"/>
  <c r="I25" i="76"/>
  <c r="H25" i="76"/>
  <c r="D23" i="76"/>
  <c r="D25" i="76"/>
  <c r="D32" i="71"/>
  <c r="K23" i="83"/>
  <c r="I23" i="83"/>
  <c r="H23" i="83"/>
  <c r="K19" i="83"/>
  <c r="L19" i="83" s="1"/>
  <c r="I19" i="83"/>
  <c r="H19" i="83"/>
  <c r="K20" i="83"/>
  <c r="L20" i="83" s="1"/>
  <c r="I20" i="83"/>
  <c r="H20" i="83"/>
  <c r="K22" i="83"/>
  <c r="I22" i="83"/>
  <c r="H22" i="83"/>
  <c r="K21" i="83"/>
  <c r="I21" i="83"/>
  <c r="H21" i="83"/>
  <c r="D23" i="83"/>
  <c r="K25" i="219"/>
  <c r="I25" i="219"/>
  <c r="H25" i="219"/>
  <c r="K24" i="219"/>
  <c r="I24" i="219"/>
  <c r="H24" i="219"/>
  <c r="D25" i="219"/>
  <c r="D24" i="219"/>
  <c r="K21" i="78"/>
  <c r="I21" i="78"/>
  <c r="H21" i="78"/>
  <c r="D21" i="78"/>
  <c r="L23" i="76" l="1"/>
  <c r="L25" i="76"/>
  <c r="L22" i="83"/>
  <c r="L23" i="83"/>
  <c r="L21" i="83"/>
  <c r="L25" i="219"/>
  <c r="L24" i="219"/>
  <c r="L21" i="78"/>
  <c r="K23" i="241" l="1"/>
  <c r="I23" i="241"/>
  <c r="H23" i="241"/>
  <c r="D23" i="241"/>
  <c r="K22" i="241"/>
  <c r="I22" i="241"/>
  <c r="H22" i="241"/>
  <c r="D22" i="241"/>
  <c r="K21" i="241"/>
  <c r="I21" i="241"/>
  <c r="H21" i="241"/>
  <c r="D21" i="241"/>
  <c r="K19" i="241"/>
  <c r="I19" i="241"/>
  <c r="H19" i="241"/>
  <c r="D19" i="241"/>
  <c r="K20" i="241"/>
  <c r="I20" i="241"/>
  <c r="H20" i="241"/>
  <c r="D20" i="241"/>
  <c r="K18" i="241"/>
  <c r="I18" i="241"/>
  <c r="H18" i="241"/>
  <c r="D18" i="241"/>
  <c r="K29" i="69"/>
  <c r="I29" i="69"/>
  <c r="H29" i="69"/>
  <c r="K28" i="69"/>
  <c r="L28" i="69" s="1"/>
  <c r="I28" i="69"/>
  <c r="H28" i="69"/>
  <c r="K23" i="69"/>
  <c r="L23" i="69" s="1"/>
  <c r="I23" i="69"/>
  <c r="H23" i="69"/>
  <c r="D29" i="69"/>
  <c r="D28" i="69"/>
  <c r="D23" i="69"/>
  <c r="K19" i="69"/>
  <c r="I19" i="69"/>
  <c r="H19" i="69"/>
  <c r="D19" i="69"/>
  <c r="L18" i="241" l="1"/>
  <c r="L20" i="241"/>
  <c r="L19" i="241"/>
  <c r="L21" i="241"/>
  <c r="L22" i="241"/>
  <c r="L23" i="241"/>
  <c r="L29" i="69"/>
  <c r="L19" i="69"/>
  <c r="K20" i="100" l="1"/>
  <c r="I20" i="100"/>
  <c r="H20" i="100"/>
  <c r="D20" i="100"/>
  <c r="L20" i="100" l="1"/>
  <c r="K24" i="47" l="1"/>
  <c r="I24" i="47"/>
  <c r="H24" i="47"/>
  <c r="K23" i="47"/>
  <c r="I23" i="47"/>
  <c r="H23" i="47"/>
  <c r="K22" i="47"/>
  <c r="L22" i="47" s="1"/>
  <c r="I22" i="47"/>
  <c r="H22" i="47"/>
  <c r="D24" i="47"/>
  <c r="D23" i="47"/>
  <c r="D22" i="47"/>
  <c r="K22" i="76"/>
  <c r="L22" i="76" s="1"/>
  <c r="I22" i="76"/>
  <c r="H22" i="76"/>
  <c r="D22" i="76"/>
  <c r="L23" i="47" l="1"/>
  <c r="L24" i="47"/>
  <c r="I32" i="224"/>
  <c r="H32" i="224"/>
  <c r="D32" i="224"/>
  <c r="I27" i="65"/>
  <c r="H27" i="65"/>
  <c r="D27" i="65"/>
  <c r="K19" i="99"/>
  <c r="I19" i="99"/>
  <c r="H19" i="99"/>
  <c r="D19" i="99"/>
  <c r="D31" i="78"/>
  <c r="D30" i="78"/>
  <c r="K31" i="78"/>
  <c r="I31" i="78"/>
  <c r="H31" i="78"/>
  <c r="K30" i="78"/>
  <c r="I30" i="78"/>
  <c r="H30" i="78"/>
  <c r="K28" i="78"/>
  <c r="I28" i="78"/>
  <c r="H28" i="78"/>
  <c r="K27" i="78"/>
  <c r="I27" i="78"/>
  <c r="H27" i="78"/>
  <c r="K26" i="78"/>
  <c r="I26" i="78"/>
  <c r="H26" i="78"/>
  <c r="K25" i="78"/>
  <c r="I25" i="78"/>
  <c r="H25" i="78"/>
  <c r="K24" i="78"/>
  <c r="I24" i="78"/>
  <c r="H24" i="78"/>
  <c r="K23" i="78"/>
  <c r="I23" i="78"/>
  <c r="H23" i="78"/>
  <c r="K20" i="78"/>
  <c r="I20" i="78"/>
  <c r="H20" i="78"/>
  <c r="D28" i="78"/>
  <c r="D27" i="78"/>
  <c r="D26" i="78"/>
  <c r="D25" i="78"/>
  <c r="D24" i="78"/>
  <c r="D23" i="78"/>
  <c r="K26" i="90"/>
  <c r="I26" i="90"/>
  <c r="H26" i="90"/>
  <c r="K25" i="90"/>
  <c r="I25" i="90"/>
  <c r="H25" i="90"/>
  <c r="K24" i="90"/>
  <c r="L24" i="90" s="1"/>
  <c r="I24" i="90"/>
  <c r="H24" i="90"/>
  <c r="K23" i="90"/>
  <c r="L23" i="90" s="1"/>
  <c r="I23" i="90"/>
  <c r="H23" i="90"/>
  <c r="K22" i="90"/>
  <c r="L22" i="90" s="1"/>
  <c r="I22" i="90"/>
  <c r="H22" i="90"/>
  <c r="K19" i="90"/>
  <c r="L19" i="90" s="1"/>
  <c r="I19" i="90"/>
  <c r="H19" i="90"/>
  <c r="D26" i="90"/>
  <c r="D25" i="90"/>
  <c r="D24" i="90"/>
  <c r="D23" i="90"/>
  <c r="D22" i="90"/>
  <c r="D19" i="90"/>
  <c r="K23" i="60"/>
  <c r="I23" i="60"/>
  <c r="H23" i="60"/>
  <c r="D23" i="60"/>
  <c r="L19" i="99" l="1"/>
  <c r="L20" i="78"/>
  <c r="L23" i="78"/>
  <c r="L24" i="78"/>
  <c r="L25" i="78"/>
  <c r="L26" i="78"/>
  <c r="L27" i="78"/>
  <c r="L28" i="78"/>
  <c r="L30" i="78"/>
  <c r="L31" i="78"/>
  <c r="L25" i="90"/>
  <c r="L26" i="90"/>
  <c r="L23" i="60"/>
  <c r="I27" i="146" l="1"/>
  <c r="H27" i="146"/>
  <c r="D27" i="146"/>
  <c r="K20" i="79" l="1"/>
  <c r="I20" i="79"/>
  <c r="H20" i="79"/>
  <c r="K21" i="79"/>
  <c r="I21" i="79"/>
  <c r="H21" i="79"/>
  <c r="K19" i="79"/>
  <c r="L19" i="79" s="1"/>
  <c r="I19" i="79"/>
  <c r="H19" i="79"/>
  <c r="D20" i="79"/>
  <c r="D21" i="79"/>
  <c r="D19" i="79"/>
  <c r="L20" i="79" l="1"/>
  <c r="L21" i="79"/>
  <c r="K20" i="101" l="1"/>
  <c r="I20" i="101"/>
  <c r="H20" i="101"/>
  <c r="K19" i="101"/>
  <c r="L19" i="101" s="1"/>
  <c r="I19" i="101"/>
  <c r="H19" i="101"/>
  <c r="D20" i="101"/>
  <c r="D19" i="101"/>
  <c r="L20" i="101" l="1"/>
  <c r="K20" i="132" l="1"/>
  <c r="I20" i="132"/>
  <c r="H20" i="132"/>
  <c r="D20" i="132"/>
  <c r="D20" i="78"/>
  <c r="L20" i="132" l="1"/>
  <c r="I19" i="104" l="1"/>
  <c r="H19" i="104"/>
  <c r="K22" i="224"/>
  <c r="I22" i="224"/>
  <c r="H22" i="224"/>
  <c r="D22" i="224"/>
  <c r="N37" i="244"/>
  <c r="R18" i="244"/>
  <c r="S18" i="244" s="1"/>
  <c r="K18" i="244"/>
  <c r="L18" i="244" s="1"/>
  <c r="I18" i="244"/>
  <c r="H18" i="244"/>
  <c r="D18" i="244"/>
  <c r="N15" i="244"/>
  <c r="O15" i="244" s="1"/>
  <c r="F11" i="244"/>
  <c r="L22" i="224" l="1"/>
  <c r="L32" i="244"/>
  <c r="L34" i="244" l="1"/>
  <c r="L35" i="244" l="1"/>
  <c r="L33" i="244" s="1"/>
  <c r="L36" i="244" l="1"/>
  <c r="K21" i="243"/>
  <c r="K20" i="243"/>
  <c r="L20" i="243" s="1"/>
  <c r="K19" i="243"/>
  <c r="K18" i="243"/>
  <c r="L18" i="243" s="1"/>
  <c r="I21" i="243"/>
  <c r="H21" i="243"/>
  <c r="I20" i="243"/>
  <c r="H20" i="243"/>
  <c r="I19" i="243"/>
  <c r="H19" i="243"/>
  <c r="D21" i="243"/>
  <c r="D20" i="243"/>
  <c r="D19" i="243"/>
  <c r="I18" i="243"/>
  <c r="H18" i="243"/>
  <c r="D18" i="243"/>
  <c r="F11" i="243"/>
  <c r="K20" i="61"/>
  <c r="I20" i="61"/>
  <c r="H20" i="61"/>
  <c r="D20" i="61"/>
  <c r="D19" i="47"/>
  <c r="L19" i="243" l="1"/>
  <c r="L21" i="243"/>
  <c r="L20" i="61"/>
  <c r="L34" i="243" l="1"/>
  <c r="L36" i="243" s="1"/>
  <c r="L37" i="243" s="1"/>
  <c r="K19" i="110"/>
  <c r="L19" i="110" s="1"/>
  <c r="I19" i="110"/>
  <c r="H19" i="110"/>
  <c r="D19" i="110"/>
  <c r="L35" i="243" l="1"/>
  <c r="L38" i="243"/>
  <c r="D20" i="65" l="1"/>
  <c r="H122" i="7" l="1"/>
  <c r="H153" i="7"/>
  <c r="H155" i="7" s="1"/>
  <c r="H157" i="7"/>
  <c r="H160" i="7"/>
  <c r="H162" i="7"/>
  <c r="H169" i="7"/>
  <c r="H173" i="7"/>
  <c r="H176" i="7"/>
  <c r="H179" i="7"/>
  <c r="H186" i="7"/>
  <c r="H192" i="7"/>
  <c r="H391" i="7"/>
  <c r="H154" i="7" l="1"/>
  <c r="I34" i="93" l="1"/>
  <c r="H34" i="93"/>
  <c r="D34" i="93"/>
  <c r="I23" i="159"/>
  <c r="H23" i="159"/>
  <c r="D23" i="159"/>
  <c r="D42" i="120"/>
  <c r="FA168" i="7" l="1"/>
  <c r="D23" i="56" l="1"/>
  <c r="K23" i="50" l="1"/>
  <c r="L23" i="50" s="1"/>
  <c r="I23" i="50"/>
  <c r="H23" i="50"/>
  <c r="D23" i="50"/>
  <c r="I32" i="111"/>
  <c r="H32" i="111"/>
  <c r="D32" i="111"/>
  <c r="K27" i="87" l="1"/>
  <c r="I27" i="87"/>
  <c r="H27" i="87"/>
  <c r="D27" i="87"/>
  <c r="D24" i="70"/>
  <c r="L27" i="87" l="1"/>
  <c r="K18" i="46" l="1"/>
  <c r="I18" i="46"/>
  <c r="H18" i="46"/>
  <c r="L18" i="46" l="1"/>
  <c r="I36" i="78" l="1"/>
  <c r="H36" i="78"/>
  <c r="D36" i="78"/>
  <c r="I31" i="61"/>
  <c r="H31" i="61"/>
  <c r="D31" i="61"/>
  <c r="I30" i="46"/>
  <c r="H30" i="46"/>
  <c r="D30" i="46"/>
  <c r="I31" i="85"/>
  <c r="H31" i="85"/>
  <c r="D31" i="85"/>
  <c r="I34" i="83"/>
  <c r="H34" i="83"/>
  <c r="D34" i="83"/>
  <c r="K20" i="85"/>
  <c r="L20" i="85" s="1"/>
  <c r="I20" i="85"/>
  <c r="H20" i="85"/>
  <c r="D20" i="85"/>
  <c r="K21" i="90"/>
  <c r="I21" i="90"/>
  <c r="H21" i="90"/>
  <c r="K20" i="90"/>
  <c r="L20" i="90" s="1"/>
  <c r="I20" i="90"/>
  <c r="H20" i="90"/>
  <c r="L21" i="90" l="1"/>
  <c r="K23" i="93" l="1"/>
  <c r="L23" i="93" s="1"/>
  <c r="I23" i="93"/>
  <c r="H23" i="93"/>
  <c r="D23" i="93"/>
  <c r="K32" i="76"/>
  <c r="I32" i="76"/>
  <c r="H32" i="76"/>
  <c r="D32" i="76"/>
  <c r="K31" i="76"/>
  <c r="I31" i="76"/>
  <c r="H31" i="76"/>
  <c r="D31" i="76"/>
  <c r="L32" i="76" l="1"/>
  <c r="L31" i="76"/>
  <c r="K18" i="70" l="1"/>
  <c r="I18" i="70"/>
  <c r="H18" i="70"/>
  <c r="D18" i="70"/>
  <c r="K19" i="47"/>
  <c r="I19" i="47"/>
  <c r="H19" i="47"/>
  <c r="K21" i="47"/>
  <c r="L21" i="47" s="1"/>
  <c r="I21" i="47"/>
  <c r="H21" i="47"/>
  <c r="K20" i="47"/>
  <c r="L20" i="47" s="1"/>
  <c r="I20" i="47"/>
  <c r="H20" i="47"/>
  <c r="D21" i="47"/>
  <c r="D20" i="47"/>
  <c r="K23" i="87"/>
  <c r="L18" i="70" l="1"/>
  <c r="L19" i="47"/>
  <c r="K18" i="61" l="1"/>
  <c r="K18" i="120" l="1"/>
  <c r="L18" i="120" s="1"/>
  <c r="I18" i="120"/>
  <c r="H18" i="120"/>
  <c r="D18" i="120"/>
  <c r="I29" i="130"/>
  <c r="H29" i="130"/>
  <c r="D29" i="130"/>
  <c r="K24" i="60"/>
  <c r="L24" i="60" s="1"/>
  <c r="I24" i="60"/>
  <c r="H24" i="60"/>
  <c r="K25" i="60"/>
  <c r="L25" i="60" s="1"/>
  <c r="I25" i="60"/>
  <c r="H25" i="60"/>
  <c r="K19" i="60"/>
  <c r="I19" i="60"/>
  <c r="H19" i="60"/>
  <c r="D24" i="60"/>
  <c r="D25" i="60"/>
  <c r="L19" i="60" l="1"/>
  <c r="I25" i="179" l="1"/>
  <c r="H25" i="179"/>
  <c r="D25" i="179"/>
  <c r="I24" i="179"/>
  <c r="H24" i="179"/>
  <c r="D24" i="179"/>
  <c r="H370" i="7"/>
  <c r="K24" i="228" l="1"/>
  <c r="L24" i="228" s="1"/>
  <c r="I24" i="228"/>
  <c r="H24" i="228"/>
  <c r="D24" i="228"/>
  <c r="D21" i="242"/>
  <c r="H93" i="7"/>
  <c r="I31" i="110" l="1"/>
  <c r="H31" i="110"/>
  <c r="D31" i="110"/>
  <c r="K20" i="242"/>
  <c r="L20" i="242" s="1"/>
  <c r="K19" i="242"/>
  <c r="L19" i="242" s="1"/>
  <c r="K18" i="242"/>
  <c r="K19" i="50"/>
  <c r="L19" i="50" s="1"/>
  <c r="K18" i="50"/>
  <c r="L18" i="50" s="1"/>
  <c r="I20" i="242" l="1"/>
  <c r="H20" i="242"/>
  <c r="D20" i="242"/>
  <c r="I19" i="242"/>
  <c r="H19" i="242"/>
  <c r="D19" i="242"/>
  <c r="I18" i="242"/>
  <c r="H18" i="242"/>
  <c r="D18" i="242"/>
  <c r="F11" i="242"/>
  <c r="D19" i="60"/>
  <c r="K22" i="60"/>
  <c r="I22" i="60"/>
  <c r="H22" i="60"/>
  <c r="D22" i="60"/>
  <c r="FA279" i="7"/>
  <c r="FA278" i="7"/>
  <c r="FA277" i="7"/>
  <c r="FA276" i="7"/>
  <c r="FA275" i="7"/>
  <c r="FA274" i="7"/>
  <c r="L18" i="242" l="1"/>
  <c r="L22" i="60"/>
  <c r="L33" i="242" l="1"/>
  <c r="L35" i="242" s="1"/>
  <c r="L36" i="242" s="1"/>
  <c r="L34" i="242" s="1"/>
  <c r="H189" i="7"/>
  <c r="L37" i="242" l="1"/>
  <c r="R31" i="110" l="1"/>
  <c r="I33" i="126" l="1"/>
  <c r="H33" i="126"/>
  <c r="D33" i="126"/>
  <c r="I32" i="126"/>
  <c r="H32" i="126"/>
  <c r="D32" i="126"/>
  <c r="H19" i="228"/>
  <c r="I19" i="228"/>
  <c r="K19" i="228"/>
  <c r="L19" i="228" s="1"/>
  <c r="H20" i="228"/>
  <c r="I20" i="228"/>
  <c r="K20" i="228"/>
  <c r="L20" i="228" s="1"/>
  <c r="H21" i="228"/>
  <c r="I21" i="228"/>
  <c r="K21" i="228"/>
  <c r="L21" i="228" s="1"/>
  <c r="H22" i="228"/>
  <c r="I22" i="228"/>
  <c r="K22" i="228"/>
  <c r="L22" i="228" s="1"/>
  <c r="H23" i="228"/>
  <c r="I23" i="228"/>
  <c r="K23" i="228"/>
  <c r="L23" i="228" s="1"/>
  <c r="H25" i="228"/>
  <c r="I25" i="228"/>
  <c r="K25" i="228"/>
  <c r="L25" i="228" s="1"/>
  <c r="H26" i="228"/>
  <c r="I26" i="228"/>
  <c r="K26" i="228"/>
  <c r="L26" i="228" s="1"/>
  <c r="H27" i="228"/>
  <c r="I27" i="228"/>
  <c r="K27" i="228"/>
  <c r="L27" i="228" s="1"/>
  <c r="H28" i="228"/>
  <c r="I28" i="228"/>
  <c r="K28" i="228"/>
  <c r="L28" i="228" s="1"/>
  <c r="H29" i="228"/>
  <c r="I29" i="228"/>
  <c r="K29" i="228"/>
  <c r="L29" i="228" s="1"/>
  <c r="H111" i="7" l="1"/>
  <c r="H108" i="7"/>
  <c r="H109" i="7" s="1"/>
  <c r="H110" i="7" s="1"/>
  <c r="H105" i="7"/>
  <c r="H104" i="7"/>
  <c r="H103" i="7"/>
  <c r="H99" i="7"/>
  <c r="H98" i="7"/>
  <c r="H95" i="7"/>
  <c r="H92" i="7"/>
  <c r="H91" i="7"/>
  <c r="H90" i="7"/>
  <c r="H87" i="7"/>
  <c r="H88" i="7" s="1"/>
  <c r="H83" i="7"/>
  <c r="H82" i="7"/>
  <c r="H81" i="7"/>
  <c r="H80" i="7"/>
  <c r="H79" i="7"/>
  <c r="H78" i="7"/>
  <c r="H77" i="7"/>
  <c r="H76" i="7"/>
  <c r="H75" i="7"/>
  <c r="H71" i="7"/>
  <c r="H27" i="7"/>
  <c r="H19" i="7"/>
  <c r="H6" i="7"/>
  <c r="H5" i="7"/>
  <c r="H346" i="7"/>
  <c r="H344" i="7"/>
  <c r="H329" i="7"/>
  <c r="H315" i="7"/>
  <c r="H313" i="7"/>
  <c r="H311" i="7"/>
  <c r="H309" i="7"/>
  <c r="H307" i="7"/>
  <c r="H297" i="7"/>
  <c r="H296" i="7"/>
  <c r="H293" i="7"/>
  <c r="H292" i="7"/>
  <c r="H290" i="7"/>
  <c r="H288" i="7"/>
  <c r="H287" i="7"/>
  <c r="H285" i="7"/>
  <c r="H283" i="7"/>
  <c r="H281" i="7"/>
  <c r="H404" i="7"/>
  <c r="H403" i="7"/>
  <c r="H402" i="7"/>
  <c r="H396" i="7"/>
  <c r="H389" i="7"/>
  <c r="H388" i="7"/>
  <c r="H386" i="7"/>
  <c r="H385" i="7"/>
  <c r="H382" i="7"/>
  <c r="H377" i="7"/>
  <c r="H374" i="7"/>
  <c r="H373" i="7"/>
  <c r="H372" i="7"/>
  <c r="H369" i="7"/>
  <c r="H366" i="7"/>
  <c r="H362" i="7"/>
  <c r="H361" i="7"/>
  <c r="H428" i="7"/>
  <c r="K21" i="76" l="1"/>
  <c r="I21" i="76"/>
  <c r="H21" i="76"/>
  <c r="D21" i="76"/>
  <c r="D21" i="176"/>
  <c r="H21" i="176"/>
  <c r="I21" i="176"/>
  <c r="K21" i="176"/>
  <c r="L21" i="176" s="1"/>
  <c r="L21" i="76" l="1"/>
  <c r="K18" i="113" l="1"/>
  <c r="D21" i="90"/>
  <c r="K19" i="61" l="1"/>
  <c r="D49" i="241"/>
  <c r="D48" i="241"/>
  <c r="F11" i="241"/>
  <c r="D18" i="111"/>
  <c r="L34" i="241" l="1"/>
  <c r="L36" i="241" s="1"/>
  <c r="L37" i="241" l="1"/>
  <c r="L35" i="241" s="1"/>
  <c r="K18" i="240"/>
  <c r="I18" i="240"/>
  <c r="H18" i="240"/>
  <c r="D18" i="240"/>
  <c r="F11" i="240"/>
  <c r="K20" i="152"/>
  <c r="I20" i="152"/>
  <c r="H20" i="152"/>
  <c r="D20" i="152"/>
  <c r="L38" i="241" l="1"/>
  <c r="L18" i="240"/>
  <c r="L20" i="152"/>
  <c r="L35" i="240" l="1"/>
  <c r="L37" i="240" l="1"/>
  <c r="L36" i="240" s="1"/>
  <c r="L38" i="240" l="1"/>
  <c r="L39" i="240" l="1"/>
  <c r="K23" i="157" l="1"/>
  <c r="L23" i="157" s="1"/>
  <c r="I23" i="157"/>
  <c r="H23" i="157"/>
  <c r="K22" i="157"/>
  <c r="I22" i="157"/>
  <c r="H22" i="157"/>
  <c r="D23" i="157"/>
  <c r="D22" i="157"/>
  <c r="I42" i="239"/>
  <c r="H42" i="239"/>
  <c r="D42" i="239"/>
  <c r="K18" i="239"/>
  <c r="I18" i="239"/>
  <c r="H18" i="239"/>
  <c r="D18" i="239"/>
  <c r="F11" i="239"/>
  <c r="K19" i="93"/>
  <c r="L19" i="93" s="1"/>
  <c r="I19" i="93"/>
  <c r="H19" i="93"/>
  <c r="K22" i="93"/>
  <c r="I22" i="93"/>
  <c r="H22" i="93"/>
  <c r="K24" i="93"/>
  <c r="L24" i="93" s="1"/>
  <c r="I24" i="93"/>
  <c r="H24" i="93"/>
  <c r="K18" i="93"/>
  <c r="I18" i="93"/>
  <c r="H18" i="93"/>
  <c r="D19" i="93"/>
  <c r="D22" i="93"/>
  <c r="D24" i="93"/>
  <c r="D18" i="93"/>
  <c r="K21" i="224"/>
  <c r="I21" i="224"/>
  <c r="H21" i="224"/>
  <c r="D21" i="224"/>
  <c r="L22" i="157" l="1"/>
  <c r="L18" i="239"/>
  <c r="L22" i="93"/>
  <c r="L18" i="93"/>
  <c r="L21" i="224"/>
  <c r="I42" i="120"/>
  <c r="H42" i="120"/>
  <c r="I27" i="132"/>
  <c r="H27" i="132"/>
  <c r="D27" i="132"/>
  <c r="K21" i="219"/>
  <c r="I21" i="219"/>
  <c r="H21" i="219"/>
  <c r="K23" i="219"/>
  <c r="I23" i="219"/>
  <c r="H23" i="219"/>
  <c r="K22" i="219"/>
  <c r="L22" i="219" s="1"/>
  <c r="I22" i="219"/>
  <c r="H22" i="219"/>
  <c r="K20" i="219"/>
  <c r="I20" i="219"/>
  <c r="H20" i="219"/>
  <c r="D21" i="219"/>
  <c r="D23" i="219"/>
  <c r="D22" i="219"/>
  <c r="D20" i="219"/>
  <c r="L45" i="239" l="1"/>
  <c r="L47" i="239" s="1"/>
  <c r="L23" i="219"/>
  <c r="L20" i="219"/>
  <c r="L21" i="219"/>
  <c r="L48" i="239" l="1"/>
  <c r="L46" i="239" s="1"/>
  <c r="D18" i="46"/>
  <c r="K20" i="110"/>
  <c r="L20" i="110" s="1"/>
  <c r="I20" i="110"/>
  <c r="H20" i="110"/>
  <c r="D20" i="110"/>
  <c r="L49" i="239" l="1"/>
  <c r="R18" i="65" l="1"/>
  <c r="S18" i="65" s="1"/>
  <c r="K18" i="69"/>
  <c r="I18" i="69"/>
  <c r="H18" i="69"/>
  <c r="D18" i="69"/>
  <c r="H23" i="56"/>
  <c r="I23" i="56"/>
  <c r="L18" i="69" l="1"/>
  <c r="K19" i="111" l="1"/>
  <c r="I19" i="111"/>
  <c r="H19" i="111"/>
  <c r="D19" i="111"/>
  <c r="L19" i="111" l="1"/>
  <c r="H190" i="7"/>
  <c r="I29" i="47"/>
  <c r="H29" i="47"/>
  <c r="D29" i="47"/>
  <c r="I32" i="71" l="1"/>
  <c r="H32" i="71"/>
  <c r="I27" i="144"/>
  <c r="H27" i="144"/>
  <c r="D27" i="144"/>
  <c r="D18" i="77"/>
  <c r="K19" i="163"/>
  <c r="I19" i="163"/>
  <c r="H19" i="163"/>
  <c r="L19" i="163" l="1"/>
  <c r="I32" i="60" l="1"/>
  <c r="H32" i="60"/>
  <c r="D32" i="60"/>
  <c r="I23" i="87" l="1"/>
  <c r="H23" i="87"/>
  <c r="K25" i="87"/>
  <c r="L25" i="87" s="1"/>
  <c r="I25" i="87"/>
  <c r="H25" i="87"/>
  <c r="K29" i="87"/>
  <c r="L29" i="87" s="1"/>
  <c r="I29" i="87"/>
  <c r="H29" i="87"/>
  <c r="K21" i="87"/>
  <c r="I21" i="87"/>
  <c r="H21" i="87"/>
  <c r="K20" i="87"/>
  <c r="L20" i="87" s="1"/>
  <c r="I20" i="87"/>
  <c r="H20" i="87"/>
  <c r="D23" i="87"/>
  <c r="D25" i="87"/>
  <c r="D29" i="87"/>
  <c r="D21" i="87"/>
  <c r="D20" i="87"/>
  <c r="L23" i="87" l="1"/>
  <c r="L21" i="87"/>
  <c r="K19" i="45" l="1"/>
  <c r="I19" i="45"/>
  <c r="H19" i="45"/>
  <c r="D19" i="45"/>
  <c r="L19" i="45" l="1"/>
  <c r="H131" i="7" l="1"/>
  <c r="K29" i="76"/>
  <c r="L29" i="76" s="1"/>
  <c r="I29" i="76"/>
  <c r="H29" i="76"/>
  <c r="K18" i="76"/>
  <c r="I18" i="76"/>
  <c r="H18" i="76"/>
  <c r="D29" i="76"/>
  <c r="D18" i="76"/>
  <c r="L18" i="76" l="1"/>
  <c r="K28" i="87" l="1"/>
  <c r="I28" i="87"/>
  <c r="H28" i="87"/>
  <c r="D28" i="87"/>
  <c r="L28" i="87" l="1"/>
  <c r="K22" i="50" l="1"/>
  <c r="L22" i="50" s="1"/>
  <c r="I22" i="50"/>
  <c r="H22" i="50"/>
  <c r="D22" i="50"/>
  <c r="K18" i="94"/>
  <c r="D18" i="113" l="1"/>
  <c r="K19" i="230" l="1"/>
  <c r="I19" i="230"/>
  <c r="H19" i="230"/>
  <c r="D19" i="230"/>
  <c r="L19" i="230" l="1"/>
  <c r="I29" i="113" l="1"/>
  <c r="H29" i="113"/>
  <c r="D29" i="113"/>
  <c r="H188" i="7"/>
  <c r="K18" i="55" l="1"/>
  <c r="I18" i="55"/>
  <c r="H18" i="55"/>
  <c r="D18" i="55"/>
  <c r="H240" i="7"/>
  <c r="H242" i="7" s="1"/>
  <c r="FA242" i="7" s="1"/>
  <c r="L18" i="55" l="1"/>
  <c r="H178" i="7"/>
  <c r="H223" i="7"/>
  <c r="K23" i="55" l="1"/>
  <c r="I23" i="55"/>
  <c r="H23" i="55"/>
  <c r="D23" i="55"/>
  <c r="L23" i="55" l="1"/>
  <c r="L46" i="120" l="1"/>
  <c r="K21" i="55" l="1"/>
  <c r="I21" i="55"/>
  <c r="H21" i="55"/>
  <c r="D21" i="55"/>
  <c r="L21" i="55" l="1"/>
  <c r="L19" i="61" l="1"/>
  <c r="I19" i="61"/>
  <c r="H19" i="61"/>
  <c r="D19" i="61"/>
  <c r="K18" i="147"/>
  <c r="I18" i="147"/>
  <c r="H18" i="147"/>
  <c r="D18" i="147"/>
  <c r="L18" i="147" l="1"/>
  <c r="K22" i="55" l="1"/>
  <c r="I22" i="55"/>
  <c r="H22" i="55"/>
  <c r="D22" i="55"/>
  <c r="L22" i="55" l="1"/>
  <c r="FA63" i="7" l="1"/>
  <c r="FA62" i="7"/>
  <c r="FA61" i="7"/>
  <c r="FA64" i="7"/>
  <c r="H225" i="7" l="1"/>
  <c r="K19" i="65" l="1"/>
  <c r="I19" i="65"/>
  <c r="H19" i="65"/>
  <c r="D19" i="65"/>
  <c r="K18" i="56"/>
  <c r="L18" i="56" s="1"/>
  <c r="K20" i="176"/>
  <c r="I20" i="176"/>
  <c r="H20" i="176"/>
  <c r="D20" i="176"/>
  <c r="K18" i="78"/>
  <c r="I18" i="78"/>
  <c r="H18" i="78"/>
  <c r="D18" i="78"/>
  <c r="L19" i="65" l="1"/>
  <c r="L20" i="176"/>
  <c r="L18" i="78"/>
  <c r="K18" i="90" l="1"/>
  <c r="I18" i="90"/>
  <c r="H18" i="90"/>
  <c r="D18" i="90"/>
  <c r="L18" i="90" l="1"/>
  <c r="FA365" i="7" l="1"/>
  <c r="FA144" i="7"/>
  <c r="K24" i="88" l="1"/>
  <c r="L24" i="88" s="1"/>
  <c r="I24" i="88"/>
  <c r="H24" i="88"/>
  <c r="K23" i="88"/>
  <c r="L23" i="88" s="1"/>
  <c r="I23" i="88"/>
  <c r="H23" i="88"/>
  <c r="K22" i="88"/>
  <c r="L22" i="88" s="1"/>
  <c r="I22" i="88"/>
  <c r="H22" i="88"/>
  <c r="D24" i="88"/>
  <c r="D23" i="88"/>
  <c r="D22" i="88"/>
  <c r="D21" i="88"/>
  <c r="D20" i="88"/>
  <c r="D19" i="88"/>
  <c r="K20" i="224"/>
  <c r="L20" i="224" s="1"/>
  <c r="I20" i="224"/>
  <c r="H20" i="224"/>
  <c r="K19" i="224"/>
  <c r="L19" i="224" s="1"/>
  <c r="I19" i="224"/>
  <c r="H19" i="224"/>
  <c r="D20" i="224"/>
  <c r="D19" i="224"/>
  <c r="FA241" i="7"/>
  <c r="I26" i="150"/>
  <c r="H26" i="150"/>
  <c r="D26" i="150"/>
  <c r="I24" i="86"/>
  <c r="H24" i="86"/>
  <c r="D24" i="86"/>
  <c r="I23" i="86"/>
  <c r="H23" i="86"/>
  <c r="D23" i="86"/>
  <c r="I31" i="145"/>
  <c r="H31" i="145"/>
  <c r="D31" i="145"/>
  <c r="I23" i="99"/>
  <c r="H23" i="99"/>
  <c r="D23" i="99"/>
  <c r="N37" i="65"/>
  <c r="N41" i="93"/>
  <c r="P31" i="179"/>
  <c r="P32" i="179" s="1"/>
  <c r="O31" i="179"/>
  <c r="O32" i="179" s="1"/>
  <c r="O33" i="179" s="1"/>
  <c r="K19" i="179"/>
  <c r="I19" i="179"/>
  <c r="H19" i="179"/>
  <c r="D19" i="179"/>
  <c r="P32" i="81"/>
  <c r="P33" i="81" s="1"/>
  <c r="P34" i="81" s="1"/>
  <c r="O32" i="81"/>
  <c r="O33" i="81" s="1"/>
  <c r="O34" i="81" s="1"/>
  <c r="Q34" i="81" l="1"/>
  <c r="P33" i="179"/>
  <c r="L19" i="179"/>
  <c r="FA359" i="7" l="1"/>
  <c r="I30" i="68" l="1"/>
  <c r="H30" i="68"/>
  <c r="D30" i="68"/>
  <c r="D20" i="90" l="1"/>
  <c r="D21" i="126" l="1"/>
  <c r="D19" i="126" l="1"/>
  <c r="I28" i="45" l="1"/>
  <c r="H28" i="45"/>
  <c r="D28" i="45"/>
  <c r="I28" i="231"/>
  <c r="H28" i="231"/>
  <c r="D28" i="231"/>
  <c r="K21" i="226"/>
  <c r="I21" i="226"/>
  <c r="H21" i="226"/>
  <c r="D21" i="226"/>
  <c r="K20" i="226"/>
  <c r="I20" i="226"/>
  <c r="H20" i="226"/>
  <c r="D20" i="226"/>
  <c r="L21" i="226" l="1"/>
  <c r="L20" i="226"/>
  <c r="H138" i="7" l="1"/>
  <c r="FA138" i="7" s="1"/>
  <c r="I29" i="92" l="1"/>
  <c r="H29" i="92"/>
  <c r="D29" i="92"/>
  <c r="I28" i="97"/>
  <c r="H28" i="97"/>
  <c r="D28" i="97"/>
  <c r="I30" i="145"/>
  <c r="H30" i="145"/>
  <c r="D30" i="145"/>
  <c r="I22" i="117" l="1"/>
  <c r="H22" i="117"/>
  <c r="D22" i="117"/>
  <c r="K22" i="87" l="1"/>
  <c r="I22" i="87"/>
  <c r="H22" i="87"/>
  <c r="K24" i="87"/>
  <c r="I24" i="87"/>
  <c r="H24" i="87"/>
  <c r="I26" i="87"/>
  <c r="H26" i="87"/>
  <c r="I19" i="87"/>
  <c r="H19" i="87"/>
  <c r="D22" i="87"/>
  <c r="D24" i="87"/>
  <c r="D26" i="87"/>
  <c r="D19" i="87"/>
  <c r="L24" i="87" l="1"/>
  <c r="L22" i="87"/>
  <c r="K19" i="100"/>
  <c r="I30" i="238" l="1"/>
  <c r="H30" i="238"/>
  <c r="D30" i="238"/>
  <c r="K18" i="238"/>
  <c r="I18" i="238"/>
  <c r="H18" i="238"/>
  <c r="D18" i="238"/>
  <c r="F11" i="238"/>
  <c r="L18" i="238" l="1"/>
  <c r="L33" i="238" s="1"/>
  <c r="L35" i="238" l="1"/>
  <c r="L36" i="238" l="1"/>
  <c r="L37" i="238" s="1"/>
  <c r="L34" i="238"/>
  <c r="K19" i="226" l="1"/>
  <c r="I19" i="226"/>
  <c r="H19" i="226"/>
  <c r="D19" i="226"/>
  <c r="L19" i="226" l="1"/>
  <c r="I29" i="119" l="1"/>
  <c r="H29" i="119"/>
  <c r="D29" i="119"/>
  <c r="I24" i="235"/>
  <c r="H24" i="235"/>
  <c r="D24" i="235"/>
  <c r="K18" i="235"/>
  <c r="I26" i="106"/>
  <c r="H26" i="106"/>
  <c r="D26" i="106"/>
  <c r="FA429" i="7"/>
  <c r="FA428" i="7"/>
  <c r="FA427" i="7"/>
  <c r="FA426" i="7"/>
  <c r="FA425" i="7"/>
  <c r="FA424" i="7"/>
  <c r="FA423" i="7"/>
  <c r="FA422" i="7"/>
  <c r="FA421" i="7"/>
  <c r="FA420" i="7"/>
  <c r="FA419" i="7"/>
  <c r="FA418" i="7"/>
  <c r="FA417" i="7"/>
  <c r="FA416" i="7"/>
  <c r="FA415" i="7"/>
  <c r="FA414" i="7"/>
  <c r="FA413" i="7"/>
  <c r="FA412" i="7"/>
  <c r="FA411" i="7"/>
  <c r="FA410" i="7"/>
  <c r="FA409" i="7"/>
  <c r="FA408" i="7"/>
  <c r="FA404" i="7"/>
  <c r="FA403" i="7"/>
  <c r="FA401" i="7"/>
  <c r="FA400" i="7"/>
  <c r="FA399" i="7"/>
  <c r="FA398" i="7"/>
  <c r="FA397" i="7"/>
  <c r="FA396" i="7"/>
  <c r="FA394" i="7"/>
  <c r="FA393" i="7"/>
  <c r="FA392" i="7"/>
  <c r="FA391" i="7"/>
  <c r="N25" i="110" s="1"/>
  <c r="FA389" i="7"/>
  <c r="FA387" i="7"/>
  <c r="N26" i="60" s="1"/>
  <c r="O26" i="60" s="1"/>
  <c r="P26" i="60" s="1"/>
  <c r="FA384" i="7"/>
  <c r="FA383" i="7"/>
  <c r="FA381" i="7"/>
  <c r="FA380" i="7"/>
  <c r="FA379" i="7"/>
  <c r="FA378" i="7"/>
  <c r="FA376" i="7"/>
  <c r="FA375" i="7"/>
  <c r="FA371" i="7"/>
  <c r="FA370" i="7"/>
  <c r="FA368" i="7"/>
  <c r="FA367" i="7"/>
  <c r="FA363" i="7"/>
  <c r="FA360" i="7"/>
  <c r="FA358" i="7"/>
  <c r="FA357" i="7"/>
  <c r="FA356" i="7"/>
  <c r="FA355" i="7"/>
  <c r="N27" i="79" s="1"/>
  <c r="O27" i="79" s="1"/>
  <c r="P27" i="79" s="1"/>
  <c r="FA354" i="7"/>
  <c r="FA353" i="7"/>
  <c r="N26" i="79" s="1"/>
  <c r="O26" i="79" s="1"/>
  <c r="P26" i="79" s="1"/>
  <c r="FA352" i="7"/>
  <c r="FA351" i="7"/>
  <c r="FA350" i="7"/>
  <c r="FA349" i="7"/>
  <c r="FA348" i="7"/>
  <c r="FA347" i="7"/>
  <c r="FA345" i="7"/>
  <c r="FA343" i="7"/>
  <c r="FA342" i="7"/>
  <c r="FA341" i="7"/>
  <c r="FA340" i="7"/>
  <c r="FA339" i="7"/>
  <c r="FA338" i="7"/>
  <c r="FA337" i="7"/>
  <c r="FA336" i="7"/>
  <c r="FA335" i="7"/>
  <c r="FA334" i="7"/>
  <c r="FA333" i="7"/>
  <c r="FA332" i="7"/>
  <c r="FA331" i="7"/>
  <c r="FA330" i="7"/>
  <c r="FA328" i="7"/>
  <c r="FA327" i="7"/>
  <c r="FA326" i="7"/>
  <c r="FA325" i="7"/>
  <c r="FA324" i="7"/>
  <c r="FA323" i="7"/>
  <c r="FA322" i="7"/>
  <c r="FA321" i="7"/>
  <c r="FA320" i="7"/>
  <c r="FA319" i="7"/>
  <c r="FA318" i="7"/>
  <c r="FA317" i="7"/>
  <c r="FA316" i="7"/>
  <c r="FA314" i="7"/>
  <c r="FA312" i="7"/>
  <c r="FA310" i="7"/>
  <c r="FA308" i="7"/>
  <c r="FA306" i="7"/>
  <c r="FA305" i="7"/>
  <c r="FA304" i="7"/>
  <c r="FA303" i="7"/>
  <c r="FA302" i="7"/>
  <c r="FA301" i="7"/>
  <c r="FA300" i="7"/>
  <c r="FA299" i="7"/>
  <c r="FA298" i="7"/>
  <c r="FA295" i="7"/>
  <c r="FA294" i="7"/>
  <c r="FA291" i="7"/>
  <c r="FA289" i="7"/>
  <c r="FA286" i="7"/>
  <c r="FA284" i="7"/>
  <c r="FA282" i="7"/>
  <c r="FA280" i="7"/>
  <c r="FA272" i="7"/>
  <c r="FA270" i="7"/>
  <c r="FA269" i="7"/>
  <c r="FA268" i="7"/>
  <c r="FA267" i="7"/>
  <c r="FA266" i="7"/>
  <c r="FA264" i="7"/>
  <c r="FA263" i="7"/>
  <c r="FA262" i="7"/>
  <c r="FA261" i="7"/>
  <c r="FA260" i="7"/>
  <c r="FA259" i="7"/>
  <c r="FA258" i="7"/>
  <c r="FA257" i="7"/>
  <c r="FA256" i="7"/>
  <c r="FA255" i="7"/>
  <c r="FA253" i="7"/>
  <c r="FA252" i="7"/>
  <c r="FA251" i="7"/>
  <c r="FA250" i="7"/>
  <c r="FA249" i="7"/>
  <c r="FA248" i="7"/>
  <c r="FA247" i="7"/>
  <c r="FA245" i="7"/>
  <c r="FA244" i="7"/>
  <c r="FA243" i="7"/>
  <c r="FA240" i="7"/>
  <c r="FA234" i="7"/>
  <c r="FA232" i="7"/>
  <c r="FA231" i="7"/>
  <c r="FA229" i="7"/>
  <c r="FA228" i="7"/>
  <c r="FA227" i="7"/>
  <c r="FA226" i="7"/>
  <c r="FA223" i="7"/>
  <c r="FA222" i="7"/>
  <c r="FA220" i="7"/>
  <c r="FA218" i="7"/>
  <c r="FA217" i="7"/>
  <c r="FA216" i="7"/>
  <c r="FA215" i="7"/>
  <c r="FA214" i="7"/>
  <c r="N26" i="93" s="1"/>
  <c r="O26" i="93" s="1"/>
  <c r="P26" i="93" s="1"/>
  <c r="FA212" i="7"/>
  <c r="N21" i="77" s="1"/>
  <c r="O21" i="77" s="1"/>
  <c r="P21" i="77" s="1"/>
  <c r="FA208" i="7"/>
  <c r="FA204" i="7"/>
  <c r="FA201" i="7"/>
  <c r="FA200" i="7"/>
  <c r="FA196" i="7"/>
  <c r="FA192" i="7"/>
  <c r="FA186" i="7"/>
  <c r="FA185" i="7"/>
  <c r="FA184" i="7"/>
  <c r="N24" i="88" s="1"/>
  <c r="O24" i="88" s="1"/>
  <c r="P24" i="88" s="1"/>
  <c r="FA178" i="7"/>
  <c r="FA175" i="7"/>
  <c r="FA173" i="7"/>
  <c r="FA157" i="7"/>
  <c r="FA156" i="7"/>
  <c r="FA153" i="7"/>
  <c r="FA152" i="7"/>
  <c r="FA151" i="7"/>
  <c r="FA150" i="7"/>
  <c r="FA149" i="7"/>
  <c r="FA148" i="7"/>
  <c r="FA147" i="7"/>
  <c r="FA146" i="7"/>
  <c r="FA145" i="7"/>
  <c r="FA143" i="7"/>
  <c r="N20" i="88" s="1"/>
  <c r="FA142" i="7"/>
  <c r="FA141" i="7"/>
  <c r="FA140" i="7"/>
  <c r="FA139" i="7"/>
  <c r="FA137" i="7"/>
  <c r="N19" i="88" s="1"/>
  <c r="FA136" i="7"/>
  <c r="FA135" i="7"/>
  <c r="FA134" i="7"/>
  <c r="FA133" i="7"/>
  <c r="FA132" i="7"/>
  <c r="FA131" i="7"/>
  <c r="FA129" i="7"/>
  <c r="FA128" i="7"/>
  <c r="FA127" i="7"/>
  <c r="FA125" i="7"/>
  <c r="FA124" i="7"/>
  <c r="FA122" i="7"/>
  <c r="FA121" i="7"/>
  <c r="FA120" i="7"/>
  <c r="FA114" i="7"/>
  <c r="FA113" i="7"/>
  <c r="FA112" i="7"/>
  <c r="FA110" i="7"/>
  <c r="FA109" i="7"/>
  <c r="FA108" i="7"/>
  <c r="FA107" i="7"/>
  <c r="FA102" i="7"/>
  <c r="FA101" i="7"/>
  <c r="FA100" i="7"/>
  <c r="FA99" i="7"/>
  <c r="FA97" i="7"/>
  <c r="FA96" i="7"/>
  <c r="FA95" i="7"/>
  <c r="FA89" i="7"/>
  <c r="FA86" i="7"/>
  <c r="FA85" i="7"/>
  <c r="FA84" i="7"/>
  <c r="FA81" i="7"/>
  <c r="FA80" i="7"/>
  <c r="FA76" i="7"/>
  <c r="FA75" i="7"/>
  <c r="FA74" i="7"/>
  <c r="FA73" i="7"/>
  <c r="N21" i="230" s="1"/>
  <c r="O21" i="230" s="1"/>
  <c r="P21" i="230" s="1"/>
  <c r="FA72" i="7"/>
  <c r="FA70" i="7"/>
  <c r="FA69" i="7"/>
  <c r="FA60" i="7"/>
  <c r="FA59" i="7"/>
  <c r="FA58" i="7"/>
  <c r="FA57" i="7"/>
  <c r="FA56" i="7"/>
  <c r="FA55" i="7"/>
  <c r="FA54" i="7"/>
  <c r="FA53" i="7"/>
  <c r="FA52" i="7"/>
  <c r="FA51" i="7"/>
  <c r="FA50" i="7"/>
  <c r="FA49" i="7"/>
  <c r="FA48" i="7"/>
  <c r="FA47" i="7"/>
  <c r="FA46" i="7"/>
  <c r="FA45" i="7"/>
  <c r="FA44" i="7"/>
  <c r="FA43" i="7"/>
  <c r="FA42" i="7"/>
  <c r="FA41" i="7"/>
  <c r="FA40" i="7"/>
  <c r="FA39" i="7"/>
  <c r="FA38" i="7"/>
  <c r="FA37" i="7"/>
  <c r="FA36" i="7"/>
  <c r="FA35" i="7"/>
  <c r="N21" i="92" s="1"/>
  <c r="FA34" i="7"/>
  <c r="FA33" i="7"/>
  <c r="FA32" i="7"/>
  <c r="FA31" i="7"/>
  <c r="FA30" i="7"/>
  <c r="FA29" i="7"/>
  <c r="FA28" i="7"/>
  <c r="FA26" i="7"/>
  <c r="FA25" i="7"/>
  <c r="N20" i="92" s="1"/>
  <c r="FA24" i="7"/>
  <c r="FA23" i="7"/>
  <c r="FA22" i="7"/>
  <c r="FA21" i="7"/>
  <c r="FA20" i="7"/>
  <c r="FA19" i="7"/>
  <c r="FA18" i="7"/>
  <c r="FA17" i="7"/>
  <c r="FA16" i="7"/>
  <c r="FA15" i="7"/>
  <c r="FA14" i="7"/>
  <c r="FA13" i="7"/>
  <c r="FA12" i="7"/>
  <c r="FA11" i="7"/>
  <c r="FA10" i="7"/>
  <c r="N18" i="247" s="1"/>
  <c r="O18" i="247" s="1"/>
  <c r="P18" i="247" s="1"/>
  <c r="FA9" i="7"/>
  <c r="FA71" i="7"/>
  <c r="N20" i="247" s="1"/>
  <c r="O20" i="247" s="1"/>
  <c r="P20" i="247" s="1"/>
  <c r="FA94" i="7"/>
  <c r="FA91" i="7"/>
  <c r="FA90" i="7"/>
  <c r="FA88" i="7"/>
  <c r="FA105" i="7"/>
  <c r="FA104" i="7"/>
  <c r="FA103" i="7"/>
  <c r="FA98" i="7"/>
  <c r="H116" i="7"/>
  <c r="FA116" i="7" s="1"/>
  <c r="H115" i="7"/>
  <c r="FA115" i="7" s="1"/>
  <c r="FA111" i="7"/>
  <c r="H123" i="7"/>
  <c r="FA123" i="7" s="1"/>
  <c r="H119" i="7"/>
  <c r="FA119" i="7" s="1"/>
  <c r="H118" i="7"/>
  <c r="FA118" i="7" s="1"/>
  <c r="H117" i="7"/>
  <c r="FA117" i="7" s="1"/>
  <c r="H130" i="7"/>
  <c r="FA130" i="7" s="1"/>
  <c r="N21" i="247" s="1"/>
  <c r="O21" i="247" s="1"/>
  <c r="P21" i="247" s="1"/>
  <c r="H126" i="7"/>
  <c r="FA126" i="7" s="1"/>
  <c r="H158" i="7"/>
  <c r="H159" i="7" s="1"/>
  <c r="FA159" i="7" s="1"/>
  <c r="FA155" i="7"/>
  <c r="FA154" i="7"/>
  <c r="H166" i="7"/>
  <c r="FA167" i="7" s="1"/>
  <c r="H161" i="7"/>
  <c r="FA161" i="7" s="1"/>
  <c r="N22" i="78" s="1"/>
  <c r="H174" i="7"/>
  <c r="FA174" i="7" s="1"/>
  <c r="H171" i="7"/>
  <c r="FA171" i="7" s="1"/>
  <c r="H180" i="7"/>
  <c r="H177" i="7"/>
  <c r="FA177" i="7" s="1"/>
  <c r="H187" i="7"/>
  <c r="FA187" i="7" s="1"/>
  <c r="FA188" i="7"/>
  <c r="FA189" i="7"/>
  <c r="FA191" i="7"/>
  <c r="H198" i="7"/>
  <c r="H199" i="7" s="1"/>
  <c r="FA199" i="7" s="1"/>
  <c r="H197" i="7"/>
  <c r="FA197" i="7" s="1"/>
  <c r="H194" i="7"/>
  <c r="H195" i="7" s="1"/>
  <c r="FA195" i="7" s="1"/>
  <c r="H193" i="7"/>
  <c r="FA193" i="7" s="1"/>
  <c r="H211" i="7"/>
  <c r="FA211" i="7" s="1"/>
  <c r="H210" i="7"/>
  <c r="FA210" i="7" s="1"/>
  <c r="H209" i="7"/>
  <c r="FA209" i="7" s="1"/>
  <c r="H206" i="7"/>
  <c r="H207" i="7" s="1"/>
  <c r="FA207" i="7" s="1"/>
  <c r="H205" i="7"/>
  <c r="FA205" i="7" s="1"/>
  <c r="H203" i="7"/>
  <c r="FA203" i="7" s="1"/>
  <c r="H221" i="7"/>
  <c r="FA221" i="7" s="1"/>
  <c r="H219" i="7"/>
  <c r="FA219" i="7" s="1"/>
  <c r="H213" i="7"/>
  <c r="FA213" i="7" s="1"/>
  <c r="H230" i="7"/>
  <c r="FA230" i="7" s="1"/>
  <c r="FA225" i="7"/>
  <c r="H224" i="7"/>
  <c r="FA224" i="7" s="1"/>
  <c r="FA239" i="7"/>
  <c r="H237" i="7"/>
  <c r="H235" i="7"/>
  <c r="H236" i="7" s="1"/>
  <c r="FA236" i="7" s="1"/>
  <c r="H233" i="7"/>
  <c r="FA233" i="7" s="1"/>
  <c r="H254" i="7"/>
  <c r="FA254" i="7" s="1"/>
  <c r="H246" i="7"/>
  <c r="FA246" i="7" s="1"/>
  <c r="N35" i="120" s="1"/>
  <c r="O35" i="120" s="1"/>
  <c r="P35" i="120" s="1"/>
  <c r="H273" i="7"/>
  <c r="FA273" i="7" s="1"/>
  <c r="H271" i="7"/>
  <c r="FA271" i="7" s="1"/>
  <c r="H265" i="7"/>
  <c r="FA265" i="7" s="1"/>
  <c r="FA287" i="7"/>
  <c r="FA285" i="7"/>
  <c r="FA283" i="7"/>
  <c r="FA281" i="7"/>
  <c r="FA290" i="7"/>
  <c r="FA297" i="7"/>
  <c r="FA296" i="7"/>
  <c r="FA293" i="7"/>
  <c r="FA292" i="7"/>
  <c r="FA307" i="7"/>
  <c r="FA313" i="7"/>
  <c r="FA311" i="7"/>
  <c r="FA309" i="7"/>
  <c r="FA315" i="7"/>
  <c r="FA329" i="7"/>
  <c r="FA344" i="7"/>
  <c r="FA346" i="7"/>
  <c r="FA366" i="7"/>
  <c r="N22" i="88" s="1"/>
  <c r="O22" i="88" s="1"/>
  <c r="P22" i="88" s="1"/>
  <c r="FA364" i="7"/>
  <c r="FA362" i="7"/>
  <c r="FA361" i="7"/>
  <c r="FA374" i="7"/>
  <c r="N21" i="88" s="1"/>
  <c r="FA373" i="7"/>
  <c r="FA372" i="7"/>
  <c r="FA369" i="7"/>
  <c r="FA386" i="7"/>
  <c r="FA385" i="7"/>
  <c r="FA382" i="7"/>
  <c r="FA377" i="7"/>
  <c r="FA388" i="7"/>
  <c r="N24" i="110" s="1"/>
  <c r="FA395" i="7"/>
  <c r="N26" i="110" s="1"/>
  <c r="O26" i="110" s="1"/>
  <c r="P26" i="110" s="1"/>
  <c r="FA390" i="7"/>
  <c r="FA407" i="7"/>
  <c r="FA406" i="7"/>
  <c r="FA405" i="7"/>
  <c r="FA402" i="7"/>
  <c r="O25" i="110" l="1"/>
  <c r="P25" i="110" s="1"/>
  <c r="R25" i="110"/>
  <c r="O24" i="110"/>
  <c r="P24" i="110" s="1"/>
  <c r="R24" i="110"/>
  <c r="N26" i="77"/>
  <c r="O26" i="77" s="1"/>
  <c r="P26" i="77" s="1"/>
  <c r="N26" i="219"/>
  <c r="O26" i="219" s="1"/>
  <c r="P26" i="219" s="1"/>
  <c r="N31" i="228"/>
  <c r="O31" i="228" s="1"/>
  <c r="P31" i="228" s="1"/>
  <c r="N19" i="64"/>
  <c r="O19" i="64" s="1"/>
  <c r="P19" i="64" s="1"/>
  <c r="N18" i="248"/>
  <c r="O18" i="248" s="1"/>
  <c r="P18" i="248" s="1"/>
  <c r="M32" i="248" s="1"/>
  <c r="N32" i="248" s="1"/>
  <c r="N21" i="65"/>
  <c r="O21" i="65" s="1"/>
  <c r="P21" i="65" s="1"/>
  <c r="N22" i="65"/>
  <c r="O22" i="65" s="1"/>
  <c r="P22" i="65" s="1"/>
  <c r="N30" i="120"/>
  <c r="O30" i="120" s="1"/>
  <c r="P30" i="120" s="1"/>
  <c r="N33" i="120"/>
  <c r="O33" i="120" s="1"/>
  <c r="P33" i="120" s="1"/>
  <c r="N23" i="71"/>
  <c r="O23" i="71" s="1"/>
  <c r="P23" i="71" s="1"/>
  <c r="N22" i="120"/>
  <c r="O22" i="120" s="1"/>
  <c r="P22" i="120" s="1"/>
  <c r="N33" i="228"/>
  <c r="O33" i="228" s="1"/>
  <c r="P33" i="228" s="1"/>
  <c r="Q21" i="92"/>
  <c r="O21" i="92"/>
  <c r="P21" i="92" s="1"/>
  <c r="Q20" i="92"/>
  <c r="O20" i="92"/>
  <c r="P20" i="92" s="1"/>
  <c r="N20" i="71"/>
  <c r="O20" i="71" s="1"/>
  <c r="P20" i="71" s="1"/>
  <c r="N22" i="71"/>
  <c r="O22" i="71" s="1"/>
  <c r="P22" i="71" s="1"/>
  <c r="N24" i="120"/>
  <c r="O24" i="120" s="1"/>
  <c r="P24" i="120" s="1"/>
  <c r="N37" i="228"/>
  <c r="O37" i="228" s="1"/>
  <c r="P37" i="228" s="1"/>
  <c r="N20" i="68"/>
  <c r="O20" i="68" s="1"/>
  <c r="P20" i="68" s="1"/>
  <c r="N20" i="104"/>
  <c r="O20" i="104" s="1"/>
  <c r="P20" i="104" s="1"/>
  <c r="N32" i="120"/>
  <c r="O32" i="120" s="1"/>
  <c r="P32" i="120" s="1"/>
  <c r="N24" i="79"/>
  <c r="O24" i="79" s="1"/>
  <c r="P24" i="79" s="1"/>
  <c r="N20" i="77"/>
  <c r="O20" i="77" s="1"/>
  <c r="P20" i="77" s="1"/>
  <c r="N22" i="230"/>
  <c r="O22" i="230" s="1"/>
  <c r="P22" i="230" s="1"/>
  <c r="N21" i="68"/>
  <c r="O21" i="68" s="1"/>
  <c r="P21" i="68" s="1"/>
  <c r="N19" i="247"/>
  <c r="O19" i="247" s="1"/>
  <c r="P19" i="247" s="1"/>
  <c r="N19" i="68"/>
  <c r="O19" i="68" s="1"/>
  <c r="P19" i="68" s="1"/>
  <c r="N23" i="120"/>
  <c r="O23" i="120" s="1"/>
  <c r="P23" i="120" s="1"/>
  <c r="N19" i="71"/>
  <c r="O19" i="71" s="1"/>
  <c r="P19" i="71" s="1"/>
  <c r="N21" i="71"/>
  <c r="O21" i="71" s="1"/>
  <c r="P21" i="71" s="1"/>
  <c r="N21" i="132"/>
  <c r="O21" i="132" s="1"/>
  <c r="P21" i="132" s="1"/>
  <c r="N26" i="247"/>
  <c r="O26" i="247" s="1"/>
  <c r="P26" i="247" s="1"/>
  <c r="N27" i="247"/>
  <c r="O27" i="247" s="1"/>
  <c r="P27" i="247" s="1"/>
  <c r="N24" i="71"/>
  <c r="O24" i="71" s="1"/>
  <c r="P24" i="71" s="1"/>
  <c r="N21" i="110"/>
  <c r="O21" i="110" s="1"/>
  <c r="P21" i="110" s="1"/>
  <c r="N25" i="247"/>
  <c r="O25" i="247" s="1"/>
  <c r="P25" i="247" s="1"/>
  <c r="N25" i="79"/>
  <c r="O25" i="79" s="1"/>
  <c r="P25" i="79" s="1"/>
  <c r="N19" i="46"/>
  <c r="O19" i="46" s="1"/>
  <c r="P19" i="46" s="1"/>
  <c r="N24" i="247"/>
  <c r="O24" i="247" s="1"/>
  <c r="P24" i="247" s="1"/>
  <c r="N23" i="79"/>
  <c r="O23" i="79" s="1"/>
  <c r="P23" i="79" s="1"/>
  <c r="N21" i="120"/>
  <c r="O21" i="120" s="1"/>
  <c r="P21" i="120" s="1"/>
  <c r="N25" i="120"/>
  <c r="O25" i="120" s="1"/>
  <c r="P25" i="120" s="1"/>
  <c r="N21" i="152"/>
  <c r="O21" i="152" s="1"/>
  <c r="P21" i="152" s="1"/>
  <c r="N30" i="76"/>
  <c r="O30" i="76" s="1"/>
  <c r="P30" i="76" s="1"/>
  <c r="N31" i="120"/>
  <c r="O31" i="120" s="1"/>
  <c r="P31" i="120" s="1"/>
  <c r="N27" i="120"/>
  <c r="O27" i="120" s="1"/>
  <c r="P27" i="120" s="1"/>
  <c r="N19" i="120"/>
  <c r="O19" i="120" s="1"/>
  <c r="P19" i="120" s="1"/>
  <c r="N28" i="120"/>
  <c r="O28" i="120" s="1"/>
  <c r="P28" i="120" s="1"/>
  <c r="N26" i="69"/>
  <c r="O26" i="69" s="1"/>
  <c r="P26" i="69" s="1"/>
  <c r="N21" i="93"/>
  <c r="O21" i="93" s="1"/>
  <c r="P21" i="93" s="1"/>
  <c r="N19" i="113"/>
  <c r="O19" i="113" s="1"/>
  <c r="P19" i="113" s="1"/>
  <c r="N20" i="46"/>
  <c r="O20" i="46" s="1"/>
  <c r="P20" i="46" s="1"/>
  <c r="N36" i="228"/>
  <c r="O36" i="228" s="1"/>
  <c r="P36" i="228" s="1"/>
  <c r="N22" i="46"/>
  <c r="O22" i="46" s="1"/>
  <c r="P22" i="46" s="1"/>
  <c r="N21" i="60"/>
  <c r="O21" i="60" s="1"/>
  <c r="P21" i="60" s="1"/>
  <c r="N20" i="126"/>
  <c r="O20" i="126" s="1"/>
  <c r="P20" i="126" s="1"/>
  <c r="N22" i="219"/>
  <c r="O22" i="219" s="1"/>
  <c r="P22" i="219" s="1"/>
  <c r="Q22" i="78"/>
  <c r="O22" i="78"/>
  <c r="P22" i="78" s="1"/>
  <c r="N21" i="126"/>
  <c r="O21" i="126" s="1"/>
  <c r="P21" i="126" s="1"/>
  <c r="N24" i="47"/>
  <c r="O24" i="47" s="1"/>
  <c r="P24" i="47" s="1"/>
  <c r="N24" i="50"/>
  <c r="O24" i="50" s="1"/>
  <c r="P24" i="50" s="1"/>
  <c r="N20" i="242"/>
  <c r="O20" i="242" s="1"/>
  <c r="P20" i="242" s="1"/>
  <c r="N22" i="240"/>
  <c r="O22" i="240" s="1"/>
  <c r="P22" i="240" s="1"/>
  <c r="N19" i="90"/>
  <c r="O19" i="90" s="1"/>
  <c r="P19" i="90" s="1"/>
  <c r="N18" i="88"/>
  <c r="N29" i="93"/>
  <c r="O29" i="93" s="1"/>
  <c r="P29" i="93" s="1"/>
  <c r="N25" i="50"/>
  <c r="O25" i="50" s="1"/>
  <c r="P25" i="50" s="1"/>
  <c r="N19" i="240"/>
  <c r="O19" i="240" s="1"/>
  <c r="P19" i="240" s="1"/>
  <c r="N19" i="94"/>
  <c r="O19" i="94" s="1"/>
  <c r="P19" i="94" s="1"/>
  <c r="N32" i="78"/>
  <c r="Q32" i="78" s="1"/>
  <c r="N21" i="85"/>
  <c r="O21" i="85" s="1"/>
  <c r="P21" i="85" s="1"/>
  <c r="N28" i="93"/>
  <c r="O28" i="93" s="1"/>
  <c r="P28" i="93" s="1"/>
  <c r="N21" i="240"/>
  <c r="O21" i="240" s="1"/>
  <c r="P21" i="240" s="1"/>
  <c r="N20" i="230"/>
  <c r="O20" i="230" s="1"/>
  <c r="P20" i="230" s="1"/>
  <c r="N27" i="69"/>
  <c r="O27" i="69" s="1"/>
  <c r="P27" i="69" s="1"/>
  <c r="N19" i="76"/>
  <c r="O19" i="76" s="1"/>
  <c r="P19" i="76" s="1"/>
  <c r="N20" i="240"/>
  <c r="O20" i="240" s="1"/>
  <c r="P20" i="240" s="1"/>
  <c r="N23" i="110"/>
  <c r="O23" i="110" s="1"/>
  <c r="P23" i="110" s="1"/>
  <c r="N26" i="76"/>
  <c r="O26" i="76" s="1"/>
  <c r="P26" i="76" s="1"/>
  <c r="N21" i="243"/>
  <c r="O21" i="243" s="1"/>
  <c r="P21" i="243" s="1"/>
  <c r="N22" i="83"/>
  <c r="O22" i="83" s="1"/>
  <c r="P22" i="83" s="1"/>
  <c r="N20" i="76"/>
  <c r="O20" i="76" s="1"/>
  <c r="P20" i="76" s="1"/>
  <c r="N29" i="78"/>
  <c r="N20" i="60"/>
  <c r="O20" i="60" s="1"/>
  <c r="P20" i="60" s="1"/>
  <c r="N23" i="83"/>
  <c r="O23" i="83" s="1"/>
  <c r="P23" i="83" s="1"/>
  <c r="N24" i="219"/>
  <c r="O24" i="219" s="1"/>
  <c r="P24" i="219" s="1"/>
  <c r="N20" i="100"/>
  <c r="O20" i="100" s="1"/>
  <c r="P20" i="100" s="1"/>
  <c r="N25" i="219"/>
  <c r="O25" i="219" s="1"/>
  <c r="P25" i="219" s="1"/>
  <c r="N19" i="243"/>
  <c r="O19" i="243" s="1"/>
  <c r="P19" i="243" s="1"/>
  <c r="N18" i="244"/>
  <c r="O18" i="244" s="1"/>
  <c r="P18" i="244" s="1"/>
  <c r="M32" i="244" s="1"/>
  <c r="N32" i="244" s="1"/>
  <c r="N23" i="47"/>
  <c r="O23" i="47" s="1"/>
  <c r="P23" i="47" s="1"/>
  <c r="N19" i="104"/>
  <c r="N26" i="90"/>
  <c r="O26" i="90" s="1"/>
  <c r="P26" i="90" s="1"/>
  <c r="N29" i="228"/>
  <c r="O29" i="228" s="1"/>
  <c r="P29" i="228" s="1"/>
  <c r="N23" i="241"/>
  <c r="O23" i="241" s="1"/>
  <c r="P23" i="241" s="1"/>
  <c r="N22" i="241"/>
  <c r="O22" i="241" s="1"/>
  <c r="P22" i="241" s="1"/>
  <c r="N20" i="78"/>
  <c r="Q20" i="78" s="1"/>
  <c r="N21" i="228"/>
  <c r="O21" i="228" s="1"/>
  <c r="P21" i="228" s="1"/>
  <c r="N23" i="228"/>
  <c r="O23" i="228" s="1"/>
  <c r="P23" i="228" s="1"/>
  <c r="N21" i="241"/>
  <c r="O21" i="241" s="1"/>
  <c r="P21" i="241" s="1"/>
  <c r="N20" i="132"/>
  <c r="O20" i="132" s="1"/>
  <c r="P20" i="132" s="1"/>
  <c r="N20" i="228"/>
  <c r="O20" i="228" s="1"/>
  <c r="P20" i="228" s="1"/>
  <c r="N22" i="47"/>
  <c r="O22" i="47" s="1"/>
  <c r="P22" i="47" s="1"/>
  <c r="N28" i="78"/>
  <c r="N24" i="90"/>
  <c r="O24" i="90" s="1"/>
  <c r="P24" i="90" s="1"/>
  <c r="N19" i="101"/>
  <c r="O19" i="101" s="1"/>
  <c r="P19" i="101" s="1"/>
  <c r="N19" i="99"/>
  <c r="O19" i="99" s="1"/>
  <c r="P19" i="99" s="1"/>
  <c r="N26" i="78"/>
  <c r="N23" i="90"/>
  <c r="O23" i="90" s="1"/>
  <c r="P23" i="90" s="1"/>
  <c r="N27" i="78"/>
  <c r="N25" i="90"/>
  <c r="O25" i="90" s="1"/>
  <c r="P25" i="90" s="1"/>
  <c r="N19" i="242"/>
  <c r="O19" i="242" s="1"/>
  <c r="P19" i="242" s="1"/>
  <c r="N22" i="224"/>
  <c r="O22" i="224" s="1"/>
  <c r="P22" i="224" s="1"/>
  <c r="N20" i="101"/>
  <c r="O20" i="101" s="1"/>
  <c r="P20" i="101" s="1"/>
  <c r="N31" i="78"/>
  <c r="N20" i="243"/>
  <c r="O20" i="243" s="1"/>
  <c r="P20" i="243" s="1"/>
  <c r="N18" i="243"/>
  <c r="O18" i="243" s="1"/>
  <c r="P18" i="243" s="1"/>
  <c r="N21" i="90"/>
  <c r="O21" i="90" s="1"/>
  <c r="P21" i="90" s="1"/>
  <c r="N19" i="163"/>
  <c r="O19" i="163" s="1"/>
  <c r="P19" i="163" s="1"/>
  <c r="N20" i="85"/>
  <c r="O20" i="85" s="1"/>
  <c r="P20" i="85" s="1"/>
  <c r="N19" i="47"/>
  <c r="O19" i="47" s="1"/>
  <c r="P19" i="47" s="1"/>
  <c r="N28" i="228"/>
  <c r="O28" i="228" s="1"/>
  <c r="P28" i="228" s="1"/>
  <c r="N25" i="228"/>
  <c r="O25" i="228" s="1"/>
  <c r="P25" i="228" s="1"/>
  <c r="FA180" i="7"/>
  <c r="N34" i="120" s="1"/>
  <c r="O34" i="120" s="1"/>
  <c r="P34" i="120" s="1"/>
  <c r="H181" i="7"/>
  <c r="FA181" i="7" s="1"/>
  <c r="N22" i="228"/>
  <c r="O22" i="228" s="1"/>
  <c r="P22" i="228" s="1"/>
  <c r="N27" i="228"/>
  <c r="O27" i="228" s="1"/>
  <c r="P27" i="228" s="1"/>
  <c r="N24" i="228"/>
  <c r="O24" i="228" s="1"/>
  <c r="P24" i="228" s="1"/>
  <c r="N26" i="228"/>
  <c r="O26" i="228" s="1"/>
  <c r="P26" i="228" s="1"/>
  <c r="N21" i="224"/>
  <c r="O21" i="224" s="1"/>
  <c r="P21" i="224" s="1"/>
  <c r="N21" i="176"/>
  <c r="N21" i="226"/>
  <c r="O21" i="226" s="1"/>
  <c r="P21" i="226" s="1"/>
  <c r="N23" i="219"/>
  <c r="O23" i="219" s="1"/>
  <c r="P23" i="219" s="1"/>
  <c r="N18" i="69"/>
  <c r="O18" i="69" s="1"/>
  <c r="P18" i="69" s="1"/>
  <c r="N21" i="219"/>
  <c r="O21" i="219" s="1"/>
  <c r="P21" i="219" s="1"/>
  <c r="N18" i="239"/>
  <c r="O18" i="239" s="1"/>
  <c r="P18" i="239" s="1"/>
  <c r="M45" i="239" s="1"/>
  <c r="N45" i="239" s="1"/>
  <c r="N23" i="87"/>
  <c r="O23" i="87" s="1"/>
  <c r="P23" i="87" s="1"/>
  <c r="N20" i="219"/>
  <c r="O20" i="219" s="1"/>
  <c r="P20" i="219" s="1"/>
  <c r="N19" i="111"/>
  <c r="O19" i="111" s="1"/>
  <c r="P19" i="111" s="1"/>
  <c r="N19" i="45"/>
  <c r="O19" i="45" s="1"/>
  <c r="P19" i="45" s="1"/>
  <c r="N18" i="55"/>
  <c r="O18" i="55" s="1"/>
  <c r="P18" i="55" s="1"/>
  <c r="N23" i="55"/>
  <c r="O23" i="55" s="1"/>
  <c r="P23" i="55" s="1"/>
  <c r="FA237" i="7"/>
  <c r="N37" i="120" s="1"/>
  <c r="O37" i="120" s="1"/>
  <c r="P37" i="120" s="1"/>
  <c r="H238" i="7"/>
  <c r="FA238" i="7" s="1"/>
  <c r="N19" i="179"/>
  <c r="O19" i="179" s="1"/>
  <c r="P19" i="179" s="1"/>
  <c r="N20" i="176"/>
  <c r="N18" i="147"/>
  <c r="O18" i="147" s="1"/>
  <c r="P18" i="147" s="1"/>
  <c r="M33" i="147" s="1"/>
  <c r="N18" i="56"/>
  <c r="O18" i="56" s="1"/>
  <c r="P18" i="56" s="1"/>
  <c r="N19" i="224"/>
  <c r="O19" i="224" s="1"/>
  <c r="P19" i="224" s="1"/>
  <c r="N22" i="55"/>
  <c r="O22" i="55" s="1"/>
  <c r="P22" i="55" s="1"/>
  <c r="N18" i="90"/>
  <c r="O18" i="90" s="1"/>
  <c r="P18" i="90" s="1"/>
  <c r="N21" i="55"/>
  <c r="O21" i="55" s="1"/>
  <c r="P21" i="55" s="1"/>
  <c r="N20" i="226"/>
  <c r="O20" i="226" s="1"/>
  <c r="P20" i="226" s="1"/>
  <c r="N22" i="87"/>
  <c r="O22" i="87" s="1"/>
  <c r="P22" i="87" s="1"/>
  <c r="N18" i="238"/>
  <c r="O18" i="238" s="1"/>
  <c r="P18" i="238" s="1"/>
  <c r="M33" i="238" s="1"/>
  <c r="N33" i="238" s="1"/>
  <c r="N19" i="226"/>
  <c r="O19" i="226" s="1"/>
  <c r="P19" i="226" s="1"/>
  <c r="FA206" i="7"/>
  <c r="FA87" i="7"/>
  <c r="N20" i="152" s="1"/>
  <c r="O20" i="152" s="1"/>
  <c r="P20" i="152" s="1"/>
  <c r="FA158" i="7"/>
  <c r="N20" i="87" s="1"/>
  <c r="O20" i="87" s="1"/>
  <c r="P20" i="87" s="1"/>
  <c r="FA166" i="7"/>
  <c r="FA176" i="7"/>
  <c r="FA160" i="7"/>
  <c r="FA169" i="7"/>
  <c r="N18" i="126" s="1"/>
  <c r="FA198" i="7"/>
  <c r="FA194" i="7"/>
  <c r="FA202" i="7"/>
  <c r="N25" i="87" s="1"/>
  <c r="O25" i="87" s="1"/>
  <c r="P25" i="87" s="1"/>
  <c r="FA162" i="7"/>
  <c r="FA179" i="7"/>
  <c r="FA235" i="7"/>
  <c r="H172" i="7"/>
  <c r="FA172" i="7" s="1"/>
  <c r="H163" i="7"/>
  <c r="FA163" i="7" s="1"/>
  <c r="N26" i="120" s="1"/>
  <c r="O26" i="120" s="1"/>
  <c r="P26" i="120" s="1"/>
  <c r="H165" i="7"/>
  <c r="FA165" i="7" s="1"/>
  <c r="H164" i="7"/>
  <c r="FA164" i="7" s="1"/>
  <c r="H170" i="7"/>
  <c r="FA170" i="7" s="1"/>
  <c r="H182" i="7"/>
  <c r="FA190" i="7"/>
  <c r="N24" i="77" l="1"/>
  <c r="O24" i="77" s="1"/>
  <c r="P24" i="77" s="1"/>
  <c r="N21" i="61"/>
  <c r="O21" i="61" s="1"/>
  <c r="P21" i="61" s="1"/>
  <c r="N22" i="61"/>
  <c r="O22" i="61" s="1"/>
  <c r="P22" i="61" s="1"/>
  <c r="N19" i="77"/>
  <c r="O19" i="77" s="1"/>
  <c r="P19" i="77" s="1"/>
  <c r="N28" i="76"/>
  <c r="O28" i="76" s="1"/>
  <c r="P28" i="76" s="1"/>
  <c r="N25" i="77"/>
  <c r="O25" i="77" s="1"/>
  <c r="P25" i="77" s="1"/>
  <c r="N24" i="69"/>
  <c r="O24" i="69" s="1"/>
  <c r="P24" i="69" s="1"/>
  <c r="N21" i="46"/>
  <c r="O21" i="46" s="1"/>
  <c r="P21" i="46" s="1"/>
  <c r="N19" i="70"/>
  <c r="O19" i="70" s="1"/>
  <c r="P19" i="70" s="1"/>
  <c r="N19" i="83"/>
  <c r="O19" i="83" s="1"/>
  <c r="P19" i="83" s="1"/>
  <c r="N22" i="247"/>
  <c r="O22" i="247" s="1"/>
  <c r="P22" i="247" s="1"/>
  <c r="N23" i="247"/>
  <c r="O23" i="247" s="1"/>
  <c r="P23" i="247" s="1"/>
  <c r="N22" i="79"/>
  <c r="O22" i="79" s="1"/>
  <c r="P22" i="79" s="1"/>
  <c r="N22" i="69"/>
  <c r="O22" i="69" s="1"/>
  <c r="P22" i="69" s="1"/>
  <c r="N29" i="120"/>
  <c r="O29" i="120" s="1"/>
  <c r="P29" i="120" s="1"/>
  <c r="N22" i="77"/>
  <c r="O22" i="77" s="1"/>
  <c r="P22" i="77" s="1"/>
  <c r="N20" i="120"/>
  <c r="O20" i="120" s="1"/>
  <c r="P20" i="120" s="1"/>
  <c r="N36" i="120"/>
  <c r="O36" i="120" s="1"/>
  <c r="P36" i="120" s="1"/>
  <c r="N30" i="78"/>
  <c r="Q30" i="78" s="1"/>
  <c r="N23" i="93"/>
  <c r="O23" i="93" s="1"/>
  <c r="P23" i="93" s="1"/>
  <c r="N23" i="69"/>
  <c r="O23" i="69" s="1"/>
  <c r="P23" i="69" s="1"/>
  <c r="N23" i="50"/>
  <c r="O23" i="50" s="1"/>
  <c r="P23" i="50" s="1"/>
  <c r="N22" i="50"/>
  <c r="O22" i="50" s="1"/>
  <c r="P22" i="50" s="1"/>
  <c r="N22" i="90"/>
  <c r="O22" i="90" s="1"/>
  <c r="P22" i="90" s="1"/>
  <c r="N20" i="61"/>
  <c r="O20" i="61" s="1"/>
  <c r="P20" i="61" s="1"/>
  <c r="N25" i="69"/>
  <c r="O25" i="69" s="1"/>
  <c r="P25" i="69" s="1"/>
  <c r="O32" i="78"/>
  <c r="P32" i="78" s="1"/>
  <c r="N32" i="76"/>
  <c r="O32" i="76" s="1"/>
  <c r="P32" i="76" s="1"/>
  <c r="N19" i="110"/>
  <c r="R19" i="110" s="1"/>
  <c r="N21" i="69"/>
  <c r="O21" i="69" s="1"/>
  <c r="P21" i="69" s="1"/>
  <c r="N19" i="79"/>
  <c r="O19" i="79" s="1"/>
  <c r="P19" i="79" s="1"/>
  <c r="N20" i="79"/>
  <c r="O20" i="79" s="1"/>
  <c r="P20" i="79" s="1"/>
  <c r="N28" i="69"/>
  <c r="O28" i="69" s="1"/>
  <c r="P28" i="69" s="1"/>
  <c r="N29" i="69"/>
  <c r="O29" i="69" s="1"/>
  <c r="P29" i="69" s="1"/>
  <c r="N23" i="77"/>
  <c r="O23" i="77" s="1"/>
  <c r="P23" i="77" s="1"/>
  <c r="R23" i="110"/>
  <c r="N23" i="78"/>
  <c r="Q23" i="78" s="1"/>
  <c r="N20" i="65"/>
  <c r="O20" i="65" s="1"/>
  <c r="P20" i="65" s="1"/>
  <c r="N23" i="76"/>
  <c r="O23" i="76" s="1"/>
  <c r="P23" i="76" s="1"/>
  <c r="N21" i="78"/>
  <c r="O21" i="78" s="1"/>
  <c r="P21" i="78" s="1"/>
  <c r="Q29" i="78"/>
  <c r="O29" i="78"/>
  <c r="P29" i="78" s="1"/>
  <c r="N25" i="76"/>
  <c r="O25" i="76" s="1"/>
  <c r="P25" i="76" s="1"/>
  <c r="R21" i="110"/>
  <c r="N23" i="60"/>
  <c r="O23" i="60" s="1"/>
  <c r="P23" i="60" s="1"/>
  <c r="N20" i="83"/>
  <c r="O20" i="83" s="1"/>
  <c r="P20" i="83" s="1"/>
  <c r="N18" i="242"/>
  <c r="O18" i="242" s="1"/>
  <c r="P18" i="242" s="1"/>
  <c r="M33" i="242" s="1"/>
  <c r="R21" i="104"/>
  <c r="O20" i="78"/>
  <c r="P20" i="78" s="1"/>
  <c r="N25" i="78"/>
  <c r="Q25" i="78" s="1"/>
  <c r="N21" i="83"/>
  <c r="O21" i="83" s="1"/>
  <c r="P21" i="83" s="1"/>
  <c r="N28" i="87"/>
  <c r="O28" i="87" s="1"/>
  <c r="P28" i="87" s="1"/>
  <c r="N19" i="228"/>
  <c r="O19" i="228" s="1"/>
  <c r="P19" i="228" s="1"/>
  <c r="N20" i="241"/>
  <c r="O20" i="241" s="1"/>
  <c r="P20" i="241" s="1"/>
  <c r="N22" i="76"/>
  <c r="O22" i="76" s="1"/>
  <c r="P22" i="76" s="1"/>
  <c r="N21" i="79"/>
  <c r="O21" i="79" s="1"/>
  <c r="P21" i="79" s="1"/>
  <c r="N24" i="78"/>
  <c r="Q31" i="78"/>
  <c r="O31" i="78"/>
  <c r="P31" i="78" s="1"/>
  <c r="N31" i="76"/>
  <c r="O31" i="76" s="1"/>
  <c r="P31" i="76" s="1"/>
  <c r="Q26" i="78"/>
  <c r="O26" i="78"/>
  <c r="P26" i="78" s="1"/>
  <c r="N23" i="157"/>
  <c r="O23" i="157" s="1"/>
  <c r="P23" i="157" s="1"/>
  <c r="N18" i="70"/>
  <c r="O18" i="70" s="1"/>
  <c r="P18" i="70" s="1"/>
  <c r="M34" i="243"/>
  <c r="Q27" i="78"/>
  <c r="O27" i="78"/>
  <c r="P27" i="78" s="1"/>
  <c r="Q28" i="78"/>
  <c r="O28" i="78"/>
  <c r="P28" i="78" s="1"/>
  <c r="N19" i="65"/>
  <c r="O19" i="65" s="1"/>
  <c r="P19" i="65" s="1"/>
  <c r="N29" i="87"/>
  <c r="O29" i="87" s="1"/>
  <c r="P29" i="87" s="1"/>
  <c r="N19" i="93"/>
  <c r="O19" i="93" s="1"/>
  <c r="P19" i="93" s="1"/>
  <c r="N21" i="47"/>
  <c r="O21" i="47" s="1"/>
  <c r="P21" i="47" s="1"/>
  <c r="N21" i="87"/>
  <c r="O21" i="87" s="1"/>
  <c r="P21" i="87" s="1"/>
  <c r="N22" i="157"/>
  <c r="O22" i="157" s="1"/>
  <c r="P22" i="157" s="1"/>
  <c r="N21" i="76"/>
  <c r="O21" i="76" s="1"/>
  <c r="P21" i="76" s="1"/>
  <c r="N24" i="60"/>
  <c r="O24" i="60" s="1"/>
  <c r="P24" i="60" s="1"/>
  <c r="N20" i="47"/>
  <c r="O20" i="47" s="1"/>
  <c r="P20" i="47" s="1"/>
  <c r="N22" i="93"/>
  <c r="O22" i="93" s="1"/>
  <c r="P22" i="93" s="1"/>
  <c r="N20" i="110"/>
  <c r="R20" i="110" s="1"/>
  <c r="N19" i="61"/>
  <c r="O19" i="61" s="1"/>
  <c r="P19" i="61" s="1"/>
  <c r="N24" i="93"/>
  <c r="O24" i="93" s="1"/>
  <c r="P24" i="93" s="1"/>
  <c r="R30" i="110"/>
  <c r="Q21" i="176"/>
  <c r="O21" i="176"/>
  <c r="P21" i="176" s="1"/>
  <c r="Q20" i="176"/>
  <c r="O20" i="176"/>
  <c r="P20" i="176" s="1"/>
  <c r="N20" i="224"/>
  <c r="O20" i="224" s="1"/>
  <c r="P20" i="224" s="1"/>
  <c r="R23" i="104"/>
  <c r="H183" i="7"/>
  <c r="FA183" i="7" s="1"/>
  <c r="FA182" i="7"/>
  <c r="N32" i="228" s="1"/>
  <c r="O32" i="228" s="1"/>
  <c r="P32" i="228" s="1"/>
  <c r="K20" i="181"/>
  <c r="L20" i="181" s="1"/>
  <c r="I20" i="181"/>
  <c r="H20" i="181"/>
  <c r="D20" i="181"/>
  <c r="FA27" i="7"/>
  <c r="N19" i="126" s="1"/>
  <c r="O19" i="126" s="1"/>
  <c r="P19" i="126" s="1"/>
  <c r="M38" i="247" l="1"/>
  <c r="N38" i="247" s="1"/>
  <c r="O30" i="78"/>
  <c r="P30" i="78" s="1"/>
  <c r="N27" i="87"/>
  <c r="O27" i="87" s="1"/>
  <c r="P27" i="87" s="1"/>
  <c r="N23" i="88"/>
  <c r="O23" i="88" s="1"/>
  <c r="P23" i="88" s="1"/>
  <c r="O19" i="110"/>
  <c r="P19" i="110" s="1"/>
  <c r="O23" i="78"/>
  <c r="P23" i="78" s="1"/>
  <c r="Q21" i="78"/>
  <c r="O25" i="78"/>
  <c r="P25" i="78" s="1"/>
  <c r="Q24" i="78"/>
  <c r="O24" i="78"/>
  <c r="P24" i="78" s="1"/>
  <c r="O20" i="110"/>
  <c r="P20" i="110" s="1"/>
  <c r="S19" i="113"/>
  <c r="N26" i="87"/>
  <c r="N24" i="87"/>
  <c r="O24" i="87" s="1"/>
  <c r="P24" i="87" s="1"/>
  <c r="FA6" i="7"/>
  <c r="FA8" i="7"/>
  <c r="N19" i="69" s="1"/>
  <c r="O19" i="69" s="1"/>
  <c r="P19" i="69" s="1"/>
  <c r="FA7" i="7"/>
  <c r="N18" i="61"/>
  <c r="N19" i="87" l="1"/>
  <c r="N18" i="240"/>
  <c r="O18" i="240" s="1"/>
  <c r="P18" i="240" s="1"/>
  <c r="M35" i="240" s="1"/>
  <c r="N35" i="240" s="1"/>
  <c r="N19" i="230"/>
  <c r="O19" i="230" s="1"/>
  <c r="P19" i="230" s="1"/>
  <c r="FA3" i="7"/>
  <c r="N19" i="60" s="1"/>
  <c r="O19" i="60" s="1"/>
  <c r="P19" i="60" s="1"/>
  <c r="N18" i="120" l="1"/>
  <c r="O18" i="120" s="1"/>
  <c r="P18" i="120" s="1"/>
  <c r="M46" i="120" s="1"/>
  <c r="N25" i="60"/>
  <c r="O25" i="60" s="1"/>
  <c r="P25" i="60" s="1"/>
  <c r="N18" i="78"/>
  <c r="N29" i="76"/>
  <c r="O29" i="76" s="1"/>
  <c r="P29" i="76" s="1"/>
  <c r="N20" i="90"/>
  <c r="O20" i="90" s="1"/>
  <c r="P20" i="90" s="1"/>
  <c r="N18" i="46"/>
  <c r="O18" i="46" s="1"/>
  <c r="P18" i="46" s="1"/>
  <c r="N22" i="60"/>
  <c r="O22" i="60" s="1"/>
  <c r="P22" i="60" s="1"/>
  <c r="N18" i="76"/>
  <c r="O18" i="76" s="1"/>
  <c r="P18" i="76" s="1"/>
  <c r="N18" i="93"/>
  <c r="O18" i="93" s="1"/>
  <c r="P18" i="93" s="1"/>
  <c r="FA5" i="7"/>
  <c r="FA4" i="7"/>
  <c r="N35" i="228" s="1"/>
  <c r="O35" i="228" s="1"/>
  <c r="P35" i="228" s="1"/>
  <c r="N19" i="241" l="1"/>
  <c r="O19" i="241" s="1"/>
  <c r="P19" i="241" s="1"/>
  <c r="N18" i="241"/>
  <c r="O18" i="241" s="1"/>
  <c r="P18" i="241" s="1"/>
  <c r="Q18" i="78"/>
  <c r="O18" i="78"/>
  <c r="P18" i="78" s="1"/>
  <c r="N18" i="121"/>
  <c r="D23" i="121"/>
  <c r="M34" i="241" l="1"/>
  <c r="N34" i="241" s="1"/>
  <c r="L18" i="235" l="1"/>
  <c r="I18" i="235"/>
  <c r="H18" i="235"/>
  <c r="D18" i="235"/>
  <c r="F11" i="235"/>
  <c r="K19" i="231"/>
  <c r="I19" i="231"/>
  <c r="H19" i="231"/>
  <c r="D19" i="231"/>
  <c r="L34" i="235" l="1"/>
  <c r="L19" i="231"/>
  <c r="L36" i="235" l="1"/>
  <c r="L37" i="235" l="1"/>
  <c r="L35" i="235" s="1"/>
  <c r="L38" i="235" l="1"/>
  <c r="L19" i="100" l="1"/>
  <c r="I19" i="100"/>
  <c r="H19" i="100"/>
  <c r="D19" i="100"/>
  <c r="N26" i="234" l="1"/>
  <c r="K26" i="234"/>
  <c r="I26" i="234"/>
  <c r="H26" i="234"/>
  <c r="N25" i="234"/>
  <c r="K25" i="234"/>
  <c r="I25" i="234"/>
  <c r="H25" i="234"/>
  <c r="K24" i="234"/>
  <c r="L24" i="234" s="1"/>
  <c r="I24" i="234"/>
  <c r="H24" i="234"/>
  <c r="N23" i="234"/>
  <c r="K23" i="234"/>
  <c r="L23" i="234" s="1"/>
  <c r="I23" i="234"/>
  <c r="H23" i="234"/>
  <c r="K22" i="234"/>
  <c r="I22" i="234"/>
  <c r="H22" i="234"/>
  <c r="K21" i="234"/>
  <c r="I21" i="234"/>
  <c r="H21" i="234"/>
  <c r="K20" i="234"/>
  <c r="L20" i="234" s="1"/>
  <c r="I20" i="234"/>
  <c r="H20" i="234"/>
  <c r="D26" i="234"/>
  <c r="D25" i="234"/>
  <c r="D24" i="234"/>
  <c r="D23" i="234"/>
  <c r="D22" i="234"/>
  <c r="D21" i="234"/>
  <c r="D20" i="234"/>
  <c r="K31" i="234"/>
  <c r="I31" i="234"/>
  <c r="H31" i="234"/>
  <c r="D31" i="234"/>
  <c r="I30" i="234"/>
  <c r="H30" i="234"/>
  <c r="D30" i="234"/>
  <c r="N19" i="234"/>
  <c r="I19" i="234"/>
  <c r="H19" i="234"/>
  <c r="D19" i="234"/>
  <c r="N18" i="234"/>
  <c r="K18" i="234"/>
  <c r="L18" i="234" s="1"/>
  <c r="I18" i="234"/>
  <c r="H18" i="234"/>
  <c r="D18" i="234"/>
  <c r="F11" i="234"/>
  <c r="O25" i="234" l="1"/>
  <c r="P25" i="234" s="1"/>
  <c r="O26" i="234"/>
  <c r="P26" i="234" s="1"/>
  <c r="O18" i="234"/>
  <c r="P18" i="234" s="1"/>
  <c r="L22" i="234"/>
  <c r="L25" i="234"/>
  <c r="L21" i="234"/>
  <c r="O23" i="234"/>
  <c r="P23" i="234" s="1"/>
  <c r="L26" i="234"/>
  <c r="N19" i="21" l="1"/>
  <c r="I21" i="157" l="1"/>
  <c r="H21" i="157"/>
  <c r="I20" i="157"/>
  <c r="H20" i="157"/>
  <c r="D21" i="157"/>
  <c r="D20" i="157"/>
  <c r="D29" i="228"/>
  <c r="D20" i="91" l="1"/>
  <c r="D19" i="91"/>
  <c r="N19" i="92" l="1"/>
  <c r="Q19" i="92" s="1"/>
  <c r="K19" i="92"/>
  <c r="L19" i="92" s="1"/>
  <c r="I19" i="92"/>
  <c r="H19" i="92"/>
  <c r="D19" i="92"/>
  <c r="O19" i="92" l="1"/>
  <c r="P19" i="92" s="1"/>
  <c r="D64" i="228" l="1"/>
  <c r="D63" i="228"/>
  <c r="K21" i="119" l="1"/>
  <c r="L21" i="119" s="1"/>
  <c r="I28" i="232"/>
  <c r="H28" i="232"/>
  <c r="D28" i="232"/>
  <c r="N18" i="232"/>
  <c r="K18" i="232"/>
  <c r="I18" i="232"/>
  <c r="H18" i="232"/>
  <c r="D18" i="232"/>
  <c r="F11" i="232"/>
  <c r="K20" i="50"/>
  <c r="I20" i="50"/>
  <c r="H20" i="50"/>
  <c r="I19" i="50"/>
  <c r="H19" i="50"/>
  <c r="D20" i="50"/>
  <c r="D19" i="50"/>
  <c r="O18" i="232" l="1"/>
  <c r="P18" i="232" s="1"/>
  <c r="L18" i="232"/>
  <c r="L31" i="232" s="1"/>
  <c r="L20" i="50"/>
  <c r="L33" i="232" l="1"/>
  <c r="L32" i="232" s="1"/>
  <c r="M31" i="232"/>
  <c r="K18" i="231"/>
  <c r="I18" i="231"/>
  <c r="H18" i="231"/>
  <c r="D18" i="231"/>
  <c r="F11" i="231"/>
  <c r="I25" i="106"/>
  <c r="H25" i="106"/>
  <c r="D25" i="106"/>
  <c r="L34" i="232" l="1"/>
  <c r="L35" i="232" s="1"/>
  <c r="L18" i="231"/>
  <c r="L32" i="231" l="1"/>
  <c r="L34" i="231" s="1"/>
  <c r="K18" i="230"/>
  <c r="I18" i="230"/>
  <c r="H18" i="230"/>
  <c r="D18" i="230"/>
  <c r="F11" i="230"/>
  <c r="O34" i="231" l="1"/>
  <c r="O35" i="231" s="1"/>
  <c r="O36" i="231" s="1"/>
  <c r="L35" i="231"/>
  <c r="L33" i="231" s="1"/>
  <c r="L18" i="230"/>
  <c r="L36" i="231" l="1"/>
  <c r="N36" i="231" s="1"/>
  <c r="O37" i="231" s="1"/>
  <c r="L35" i="230"/>
  <c r="L37" i="230" s="1"/>
  <c r="L38" i="230" l="1"/>
  <c r="L36" i="230" s="1"/>
  <c r="L39" i="230" l="1"/>
  <c r="R24" i="104" l="1"/>
  <c r="R19" i="85" l="1"/>
  <c r="S19" i="85" s="1"/>
  <c r="N20" i="106" l="1"/>
  <c r="K20" i="106"/>
  <c r="I20" i="106"/>
  <c r="H20" i="106"/>
  <c r="D20" i="106"/>
  <c r="O20" i="106" l="1"/>
  <c r="P20" i="106" s="1"/>
  <c r="L20" i="106"/>
  <c r="D28" i="228" l="1"/>
  <c r="D27" i="228"/>
  <c r="D26" i="228"/>
  <c r="D25" i="228"/>
  <c r="D23" i="228"/>
  <c r="D22" i="228"/>
  <c r="D21" i="228"/>
  <c r="K18" i="177" l="1"/>
  <c r="L18" i="177" s="1"/>
  <c r="L36" i="177" s="1"/>
  <c r="L38" i="177" s="1"/>
  <c r="I18" i="177"/>
  <c r="H18" i="177"/>
  <c r="D18" i="177"/>
  <c r="F11" i="177"/>
  <c r="I23" i="53"/>
  <c r="H23" i="53"/>
  <c r="D23" i="53"/>
  <c r="N18" i="53"/>
  <c r="O18" i="53" s="1"/>
  <c r="P18" i="53" s="1"/>
  <c r="L18" i="53"/>
  <c r="L38" i="53" s="1"/>
  <c r="L40" i="53" s="1"/>
  <c r="I18" i="53"/>
  <c r="H18" i="53"/>
  <c r="D18" i="53"/>
  <c r="N13" i="53"/>
  <c r="N12" i="53"/>
  <c r="F11" i="53"/>
  <c r="K25" i="191"/>
  <c r="L25" i="191" s="1"/>
  <c r="I25" i="191"/>
  <c r="H25" i="191"/>
  <c r="D25" i="191"/>
  <c r="K24" i="191"/>
  <c r="L24" i="191" s="1"/>
  <c r="I24" i="191"/>
  <c r="H24" i="191"/>
  <c r="D24" i="191"/>
  <c r="K23" i="191"/>
  <c r="L23" i="191" s="1"/>
  <c r="I23" i="191"/>
  <c r="H23" i="191"/>
  <c r="D23" i="191"/>
  <c r="K22" i="191"/>
  <c r="L22" i="191" s="1"/>
  <c r="I22" i="191"/>
  <c r="H22" i="191"/>
  <c r="D22" i="191"/>
  <c r="K21" i="191"/>
  <c r="L21" i="191" s="1"/>
  <c r="I21" i="191"/>
  <c r="H21" i="191"/>
  <c r="D21" i="191"/>
  <c r="K20" i="191"/>
  <c r="L20" i="191" s="1"/>
  <c r="I20" i="191"/>
  <c r="H20" i="191"/>
  <c r="D20" i="191"/>
  <c r="K19" i="191"/>
  <c r="L19" i="191" s="1"/>
  <c r="I19" i="191"/>
  <c r="H19" i="191"/>
  <c r="D19" i="191"/>
  <c r="K18" i="191"/>
  <c r="L18" i="191" s="1"/>
  <c r="I18" i="191"/>
  <c r="H18" i="191"/>
  <c r="D18" i="191"/>
  <c r="F11" i="191"/>
  <c r="L22" i="188"/>
  <c r="K21" i="188"/>
  <c r="L21" i="188" s="1"/>
  <c r="I21" i="188"/>
  <c r="H21" i="188"/>
  <c r="D21" i="188"/>
  <c r="K20" i="188"/>
  <c r="L20" i="188" s="1"/>
  <c r="I20" i="188"/>
  <c r="H20" i="188"/>
  <c r="D20" i="188"/>
  <c r="K19" i="188"/>
  <c r="L19" i="188" s="1"/>
  <c r="I19" i="188"/>
  <c r="H19" i="188"/>
  <c r="D19" i="188"/>
  <c r="K18" i="188"/>
  <c r="L18" i="188" s="1"/>
  <c r="I18" i="188"/>
  <c r="H18" i="188"/>
  <c r="D18" i="188"/>
  <c r="F11" i="188"/>
  <c r="K20" i="189"/>
  <c r="L20" i="189" s="1"/>
  <c r="I20" i="189"/>
  <c r="H20" i="189"/>
  <c r="D20" i="189"/>
  <c r="K19" i="189"/>
  <c r="L19" i="189" s="1"/>
  <c r="I19" i="189"/>
  <c r="H19" i="189"/>
  <c r="D19" i="189"/>
  <c r="K18" i="189"/>
  <c r="L18" i="189" s="1"/>
  <c r="I18" i="189"/>
  <c r="H18" i="189"/>
  <c r="D18" i="189"/>
  <c r="F11" i="189"/>
  <c r="O34" i="44"/>
  <c r="L19" i="44"/>
  <c r="H19" i="44"/>
  <c r="D19" i="44"/>
  <c r="K18" i="44"/>
  <c r="L18" i="44" s="1"/>
  <c r="I18" i="44"/>
  <c r="H18" i="44"/>
  <c r="D18" i="44"/>
  <c r="F11" i="44"/>
  <c r="L33" i="147"/>
  <c r="L35" i="147" s="1"/>
  <c r="F11" i="147"/>
  <c r="L18" i="118"/>
  <c r="L38" i="118" s="1"/>
  <c r="L40" i="118" s="1"/>
  <c r="I18" i="118"/>
  <c r="H18" i="118"/>
  <c r="D18" i="118"/>
  <c r="F11" i="118"/>
  <c r="K14" i="141"/>
  <c r="L14" i="141" s="1"/>
  <c r="I14" i="141"/>
  <c r="H14" i="141"/>
  <c r="D14" i="141"/>
  <c r="K13" i="141"/>
  <c r="L13" i="141" s="1"/>
  <c r="L33" i="141" s="1"/>
  <c r="L35" i="141" s="1"/>
  <c r="I13" i="141"/>
  <c r="H13" i="141"/>
  <c r="D13" i="141"/>
  <c r="F6" i="141"/>
  <c r="K16" i="155"/>
  <c r="L16" i="155" s="1"/>
  <c r="I16" i="155"/>
  <c r="H16" i="155"/>
  <c r="D16" i="155"/>
  <c r="K15" i="155"/>
  <c r="L15" i="155" s="1"/>
  <c r="I15" i="155"/>
  <c r="H15" i="155"/>
  <c r="D15" i="155"/>
  <c r="K14" i="155"/>
  <c r="L14" i="155" s="1"/>
  <c r="I14" i="155"/>
  <c r="H14" i="155"/>
  <c r="D14" i="155"/>
  <c r="K13" i="155"/>
  <c r="L13" i="155" s="1"/>
  <c r="L37" i="155" s="1"/>
  <c r="L39" i="155" s="1"/>
  <c r="I13" i="155"/>
  <c r="H13" i="155"/>
  <c r="D13" i="155"/>
  <c r="F6" i="155"/>
  <c r="K16" i="139"/>
  <c r="L16" i="139" s="1"/>
  <c r="I16" i="139"/>
  <c r="H16" i="139"/>
  <c r="D16" i="139"/>
  <c r="K15" i="139"/>
  <c r="L15" i="139" s="1"/>
  <c r="I15" i="139"/>
  <c r="H15" i="139"/>
  <c r="D15" i="139"/>
  <c r="K14" i="139"/>
  <c r="L14" i="139" s="1"/>
  <c r="I14" i="139"/>
  <c r="H14" i="139"/>
  <c r="D14" i="139"/>
  <c r="K13" i="139"/>
  <c r="L13" i="139" s="1"/>
  <c r="L34" i="139" s="1"/>
  <c r="L36" i="139" s="1"/>
  <c r="I13" i="139"/>
  <c r="H13" i="139"/>
  <c r="D13" i="139"/>
  <c r="F6" i="139"/>
  <c r="K17" i="154"/>
  <c r="L17" i="154" s="1"/>
  <c r="I17" i="154"/>
  <c r="H17" i="154"/>
  <c r="D17" i="154"/>
  <c r="K16" i="154"/>
  <c r="L16" i="154" s="1"/>
  <c r="I16" i="154"/>
  <c r="H16" i="154"/>
  <c r="D16" i="154"/>
  <c r="K15" i="154"/>
  <c r="L15" i="154" s="1"/>
  <c r="I15" i="154"/>
  <c r="H15" i="154"/>
  <c r="D15" i="154"/>
  <c r="K14" i="154"/>
  <c r="L14" i="154" s="1"/>
  <c r="I14" i="154"/>
  <c r="H14" i="154"/>
  <c r="D14" i="154"/>
  <c r="K13" i="154"/>
  <c r="L13" i="154" s="1"/>
  <c r="L34" i="154" s="1"/>
  <c r="L36" i="154" s="1"/>
  <c r="L37" i="154" s="1"/>
  <c r="L35" i="154" s="1"/>
  <c r="I13" i="154"/>
  <c r="H13" i="154"/>
  <c r="D13" i="154"/>
  <c r="F6" i="154"/>
  <c r="K13" i="137"/>
  <c r="L13" i="137" s="1"/>
  <c r="L34" i="137" s="1"/>
  <c r="L36" i="137" s="1"/>
  <c r="I13" i="137"/>
  <c r="H13" i="137"/>
  <c r="D13" i="137"/>
  <c r="F6" i="137"/>
  <c r="K15" i="136"/>
  <c r="L15" i="136" s="1"/>
  <c r="I15" i="136"/>
  <c r="H15" i="136"/>
  <c r="D15" i="136"/>
  <c r="K14" i="136"/>
  <c r="L14" i="136" s="1"/>
  <c r="I14" i="136"/>
  <c r="H14" i="136"/>
  <c r="D14" i="136"/>
  <c r="K13" i="136"/>
  <c r="L13" i="136" s="1"/>
  <c r="L32" i="136" s="1"/>
  <c r="L34" i="136" s="1"/>
  <c r="I13" i="136"/>
  <c r="H13" i="136"/>
  <c r="D13" i="136"/>
  <c r="F6" i="136"/>
  <c r="I15" i="133"/>
  <c r="H15" i="133"/>
  <c r="K14" i="133"/>
  <c r="L14" i="133" s="1"/>
  <c r="I14" i="133"/>
  <c r="H14" i="133"/>
  <c r="D14" i="133"/>
  <c r="K13" i="133"/>
  <c r="L13" i="133" s="1"/>
  <c r="L32" i="133" s="1"/>
  <c r="L34" i="133" s="1"/>
  <c r="L35" i="133" s="1"/>
  <c r="L33" i="133" s="1"/>
  <c r="I13" i="133"/>
  <c r="H13" i="133"/>
  <c r="D13" i="133"/>
  <c r="F6" i="133"/>
  <c r="K15" i="129"/>
  <c r="L15" i="129" s="1"/>
  <c r="I15" i="129"/>
  <c r="H15" i="129"/>
  <c r="D15" i="129"/>
  <c r="K14" i="129"/>
  <c r="L14" i="129" s="1"/>
  <c r="I14" i="129"/>
  <c r="H14" i="129"/>
  <c r="D14" i="129"/>
  <c r="K13" i="129"/>
  <c r="L13" i="129" s="1"/>
  <c r="L33" i="129" s="1"/>
  <c r="L35" i="129" s="1"/>
  <c r="I13" i="129"/>
  <c r="H13" i="129"/>
  <c r="D13" i="129"/>
  <c r="F6" i="129"/>
  <c r="K16" i="82"/>
  <c r="L16" i="82" s="1"/>
  <c r="I16" i="82"/>
  <c r="H16" i="82"/>
  <c r="D16" i="82"/>
  <c r="K15" i="82"/>
  <c r="L15" i="82" s="1"/>
  <c r="I15" i="82"/>
  <c r="H15" i="82"/>
  <c r="D15" i="82"/>
  <c r="K14" i="82"/>
  <c r="L14" i="82" s="1"/>
  <c r="I14" i="82"/>
  <c r="H14" i="82"/>
  <c r="D14" i="82"/>
  <c r="K13" i="82"/>
  <c r="L13" i="82" s="1"/>
  <c r="L32" i="82" s="1"/>
  <c r="I13" i="82"/>
  <c r="H13" i="82"/>
  <c r="D13" i="82"/>
  <c r="K18" i="158"/>
  <c r="L18" i="158" s="1"/>
  <c r="L38" i="158" s="1"/>
  <c r="I18" i="158"/>
  <c r="H18" i="158"/>
  <c r="D18" i="158"/>
  <c r="F11" i="158"/>
  <c r="L18" i="63"/>
  <c r="L37" i="63" s="1"/>
  <c r="L39" i="63" s="1"/>
  <c r="I18" i="63"/>
  <c r="H18" i="63"/>
  <c r="D18" i="63"/>
  <c r="F11" i="63"/>
  <c r="L18" i="73"/>
  <c r="L37" i="73" s="1"/>
  <c r="L39" i="73" s="1"/>
  <c r="I18" i="73"/>
  <c r="H18" i="73"/>
  <c r="D18" i="73"/>
  <c r="F11" i="73"/>
  <c r="I27" i="89"/>
  <c r="H27" i="89"/>
  <c r="D27" i="89"/>
  <c r="K20" i="89"/>
  <c r="L20" i="89" s="1"/>
  <c r="I20" i="89"/>
  <c r="H20" i="89"/>
  <c r="D20" i="89"/>
  <c r="K19" i="89"/>
  <c r="L19" i="89" s="1"/>
  <c r="I19" i="89"/>
  <c r="H19" i="89"/>
  <c r="D19" i="89"/>
  <c r="K18" i="89"/>
  <c r="L18" i="89" s="1"/>
  <c r="L39" i="89" s="1"/>
  <c r="L41" i="89" s="1"/>
  <c r="I18" i="89"/>
  <c r="H18" i="89"/>
  <c r="D18" i="89"/>
  <c r="F11" i="89"/>
  <c r="K18" i="140"/>
  <c r="L18" i="140" s="1"/>
  <c r="L38" i="140" s="1"/>
  <c r="L40" i="140" s="1"/>
  <c r="I18" i="140"/>
  <c r="H18" i="140"/>
  <c r="D18" i="140"/>
  <c r="F11" i="140"/>
  <c r="I23" i="143"/>
  <c r="H23" i="143"/>
  <c r="D23" i="143"/>
  <c r="K18" i="143"/>
  <c r="L18" i="143" s="1"/>
  <c r="L38" i="143" s="1"/>
  <c r="I18" i="143"/>
  <c r="H18" i="143"/>
  <c r="D18" i="143"/>
  <c r="F11" i="143"/>
  <c r="K18" i="115"/>
  <c r="L18" i="115" s="1"/>
  <c r="L26" i="115" s="1"/>
  <c r="L28" i="115" s="1"/>
  <c r="I18" i="115"/>
  <c r="H18" i="115"/>
  <c r="D18" i="115"/>
  <c r="F11" i="115"/>
  <c r="K22" i="124"/>
  <c r="L22" i="124" s="1"/>
  <c r="I22" i="124"/>
  <c r="H22" i="124"/>
  <c r="D22" i="124"/>
  <c r="K21" i="124"/>
  <c r="L21" i="124" s="1"/>
  <c r="I21" i="124"/>
  <c r="H21" i="124"/>
  <c r="D21" i="124"/>
  <c r="K20" i="124"/>
  <c r="L20" i="124" s="1"/>
  <c r="I20" i="124"/>
  <c r="H20" i="124"/>
  <c r="D20" i="124"/>
  <c r="K19" i="124"/>
  <c r="L19" i="124" s="1"/>
  <c r="I19" i="124"/>
  <c r="H19" i="124"/>
  <c r="D19" i="124"/>
  <c r="K18" i="124"/>
  <c r="L18" i="124" s="1"/>
  <c r="L35" i="124" s="1"/>
  <c r="I18" i="124"/>
  <c r="H18" i="124"/>
  <c r="D18" i="124"/>
  <c r="F11" i="124"/>
  <c r="K18" i="134"/>
  <c r="L18" i="134" s="1"/>
  <c r="L37" i="134" s="1"/>
  <c r="L39" i="134" s="1"/>
  <c r="I18" i="134"/>
  <c r="H18" i="134"/>
  <c r="D18" i="134"/>
  <c r="F11" i="134"/>
  <c r="K19" i="109"/>
  <c r="L19" i="109" s="1"/>
  <c r="I19" i="109"/>
  <c r="H19" i="109"/>
  <c r="D19" i="109"/>
  <c r="K18" i="109"/>
  <c r="L18" i="109" s="1"/>
  <c r="L37" i="109" s="1"/>
  <c r="L39" i="109" s="1"/>
  <c r="I18" i="109"/>
  <c r="H18" i="109"/>
  <c r="D18" i="109"/>
  <c r="F11" i="109"/>
  <c r="K23" i="114"/>
  <c r="L23" i="114" s="1"/>
  <c r="I23" i="114"/>
  <c r="H23" i="114"/>
  <c r="D23" i="114"/>
  <c r="K22" i="114"/>
  <c r="L22" i="114" s="1"/>
  <c r="I22" i="114"/>
  <c r="H22" i="114"/>
  <c r="D22" i="114"/>
  <c r="K21" i="114"/>
  <c r="L21" i="114" s="1"/>
  <c r="I21" i="114"/>
  <c r="H21" i="114"/>
  <c r="D21" i="114"/>
  <c r="K20" i="114"/>
  <c r="L20" i="114" s="1"/>
  <c r="I20" i="114"/>
  <c r="H20" i="114"/>
  <c r="D20" i="114"/>
  <c r="K19" i="114"/>
  <c r="L19" i="114" s="1"/>
  <c r="I19" i="114"/>
  <c r="H19" i="114"/>
  <c r="D19" i="114"/>
  <c r="K18" i="114"/>
  <c r="L18" i="114" s="1"/>
  <c r="I18" i="114"/>
  <c r="H18" i="114"/>
  <c r="D18" i="114"/>
  <c r="F11" i="114"/>
  <c r="K18" i="66"/>
  <c r="L18" i="66" s="1"/>
  <c r="L31" i="66" s="1"/>
  <c r="L33" i="66" s="1"/>
  <c r="I18" i="66"/>
  <c r="H18" i="66"/>
  <c r="D18" i="66"/>
  <c r="F11" i="66"/>
  <c r="K20" i="135"/>
  <c r="L20" i="135" s="1"/>
  <c r="I20" i="135"/>
  <c r="H20" i="135"/>
  <c r="D20" i="135"/>
  <c r="K19" i="135"/>
  <c r="L19" i="135" s="1"/>
  <c r="I19" i="135"/>
  <c r="H19" i="135"/>
  <c r="D19" i="135"/>
  <c r="K18" i="135"/>
  <c r="L18" i="135" s="1"/>
  <c r="L36" i="135" s="1"/>
  <c r="L38" i="135" s="1"/>
  <c r="I18" i="135"/>
  <c r="H18" i="135"/>
  <c r="D18" i="135"/>
  <c r="F11" i="135"/>
  <c r="I19" i="21"/>
  <c r="H19" i="21"/>
  <c r="D19" i="21"/>
  <c r="K18" i="21"/>
  <c r="I18" i="21"/>
  <c r="H18" i="21"/>
  <c r="D18" i="21"/>
  <c r="F11" i="21"/>
  <c r="I23" i="121"/>
  <c r="H23" i="121"/>
  <c r="K19" i="121"/>
  <c r="I19" i="121"/>
  <c r="D19" i="121"/>
  <c r="K18" i="121"/>
  <c r="I18" i="121"/>
  <c r="H18" i="121"/>
  <c r="D18" i="121"/>
  <c r="F11" i="121"/>
  <c r="K18" i="159"/>
  <c r="L18" i="159" s="1"/>
  <c r="L31" i="159" s="1"/>
  <c r="L33" i="159" s="1"/>
  <c r="I18" i="159"/>
  <c r="H18" i="159"/>
  <c r="D18" i="159"/>
  <c r="F11" i="159"/>
  <c r="K18" i="160"/>
  <c r="L18" i="160" s="1"/>
  <c r="L37" i="160" s="1"/>
  <c r="L39" i="160" s="1"/>
  <c r="I18" i="160"/>
  <c r="H18" i="160"/>
  <c r="D18" i="160"/>
  <c r="F11" i="160"/>
  <c r="K18" i="142"/>
  <c r="L18" i="142" s="1"/>
  <c r="L31" i="142" s="1"/>
  <c r="L33" i="142" s="1"/>
  <c r="I18" i="142"/>
  <c r="H18" i="142"/>
  <c r="D18" i="142"/>
  <c r="F11" i="142"/>
  <c r="I25" i="138"/>
  <c r="H25" i="138"/>
  <c r="D25" i="138"/>
  <c r="K19" i="138"/>
  <c r="L19" i="138" s="1"/>
  <c r="I19" i="138"/>
  <c r="H19" i="138"/>
  <c r="D19" i="138"/>
  <c r="K18" i="138"/>
  <c r="L18" i="138" s="1"/>
  <c r="I18" i="138"/>
  <c r="H18" i="138"/>
  <c r="D18" i="138"/>
  <c r="F11" i="138"/>
  <c r="K21" i="88"/>
  <c r="I21" i="88"/>
  <c r="H21" i="88"/>
  <c r="K20" i="88"/>
  <c r="I20" i="88"/>
  <c r="H20" i="88"/>
  <c r="K19" i="88"/>
  <c r="I19" i="88"/>
  <c r="H19" i="88"/>
  <c r="K18" i="88"/>
  <c r="I18" i="88"/>
  <c r="H18" i="88"/>
  <c r="D18" i="88"/>
  <c r="F11" i="88"/>
  <c r="N18" i="150"/>
  <c r="O18" i="150" s="1"/>
  <c r="P18" i="150" s="1"/>
  <c r="L18" i="150"/>
  <c r="L29" i="150" s="1"/>
  <c r="L31" i="150" s="1"/>
  <c r="I18" i="150"/>
  <c r="H18" i="150"/>
  <c r="D18" i="150"/>
  <c r="F11" i="150"/>
  <c r="I25" i="131"/>
  <c r="H25" i="131"/>
  <c r="D25" i="131"/>
  <c r="K19" i="131"/>
  <c r="L19" i="131" s="1"/>
  <c r="I19" i="131"/>
  <c r="H19" i="131"/>
  <c r="D19" i="131"/>
  <c r="K18" i="131"/>
  <c r="L18" i="131" s="1"/>
  <c r="I18" i="131"/>
  <c r="H18" i="131"/>
  <c r="D18" i="131"/>
  <c r="F11" i="131"/>
  <c r="K20" i="171"/>
  <c r="L20" i="171" s="1"/>
  <c r="I20" i="171"/>
  <c r="H20" i="171"/>
  <c r="D20" i="171"/>
  <c r="K19" i="171"/>
  <c r="L19" i="171" s="1"/>
  <c r="I19" i="171"/>
  <c r="H19" i="171"/>
  <c r="D19" i="171"/>
  <c r="K18" i="171"/>
  <c r="L18" i="171" s="1"/>
  <c r="L37" i="171" s="1"/>
  <c r="L39" i="171" s="1"/>
  <c r="I18" i="171"/>
  <c r="H18" i="171"/>
  <c r="D18" i="171"/>
  <c r="F11" i="171"/>
  <c r="K18" i="164"/>
  <c r="L18" i="164" s="1"/>
  <c r="L37" i="164" s="1"/>
  <c r="L39" i="164" s="1"/>
  <c r="I18" i="164"/>
  <c r="H18" i="164"/>
  <c r="D18" i="164"/>
  <c r="F11" i="164"/>
  <c r="I18" i="50"/>
  <c r="H18" i="50"/>
  <c r="D18" i="50"/>
  <c r="K21" i="50"/>
  <c r="L21" i="50" s="1"/>
  <c r="I21" i="50"/>
  <c r="H21" i="50"/>
  <c r="D21" i="50"/>
  <c r="F11" i="50"/>
  <c r="N18" i="81"/>
  <c r="K18" i="81"/>
  <c r="L18" i="81" s="1"/>
  <c r="L29" i="81" s="1"/>
  <c r="L31" i="81" s="1"/>
  <c r="I18" i="81"/>
  <c r="H18" i="81"/>
  <c r="D18" i="81"/>
  <c r="F11" i="81"/>
  <c r="I19" i="157"/>
  <c r="H19" i="157"/>
  <c r="D19" i="157"/>
  <c r="I18" i="157"/>
  <c r="H18" i="157"/>
  <c r="D18" i="157"/>
  <c r="F11" i="157"/>
  <c r="K18" i="68"/>
  <c r="L18" i="68" s="1"/>
  <c r="I18" i="68"/>
  <c r="H18" i="68"/>
  <c r="D18" i="68"/>
  <c r="F11" i="68"/>
  <c r="N20" i="98"/>
  <c r="K20" i="98"/>
  <c r="L20" i="98" s="1"/>
  <c r="I20" i="98"/>
  <c r="H20" i="98"/>
  <c r="D20" i="98"/>
  <c r="K19" i="98"/>
  <c r="L19" i="98" s="1"/>
  <c r="I19" i="98"/>
  <c r="H19" i="98"/>
  <c r="D19" i="98"/>
  <c r="N18" i="98"/>
  <c r="K18" i="98"/>
  <c r="L18" i="98" s="1"/>
  <c r="I18" i="98"/>
  <c r="H18" i="98"/>
  <c r="D18" i="98"/>
  <c r="F11" i="98"/>
  <c r="K19" i="78"/>
  <c r="L19" i="78" s="1"/>
  <c r="I19" i="78"/>
  <c r="H19" i="78"/>
  <c r="D19" i="78"/>
  <c r="F11" i="78"/>
  <c r="I30" i="225"/>
  <c r="H30" i="225"/>
  <c r="D30" i="225"/>
  <c r="I27" i="225"/>
  <c r="H27" i="225"/>
  <c r="D27" i="225"/>
  <c r="I24" i="225"/>
  <c r="H24" i="225"/>
  <c r="D24" i="225"/>
  <c r="N19" i="225"/>
  <c r="K19" i="225"/>
  <c r="L19" i="225" s="1"/>
  <c r="I19" i="225"/>
  <c r="H19" i="225"/>
  <c r="D19" i="225"/>
  <c r="N18" i="225"/>
  <c r="K18" i="225"/>
  <c r="L18" i="225" s="1"/>
  <c r="I18" i="225"/>
  <c r="H18" i="225"/>
  <c r="D18" i="225"/>
  <c r="F11" i="225"/>
  <c r="N19" i="106"/>
  <c r="K19" i="106"/>
  <c r="L19" i="106" s="1"/>
  <c r="I19" i="106"/>
  <c r="H19" i="106"/>
  <c r="D19" i="106"/>
  <c r="N18" i="106"/>
  <c r="K18" i="106"/>
  <c r="L18" i="106" s="1"/>
  <c r="I18" i="106"/>
  <c r="H18" i="106"/>
  <c r="D18" i="106"/>
  <c r="F11" i="106"/>
  <c r="K18" i="100"/>
  <c r="L18" i="100" s="1"/>
  <c r="I18" i="100"/>
  <c r="H18" i="100"/>
  <c r="D18" i="100"/>
  <c r="F11" i="100"/>
  <c r="I58" i="126"/>
  <c r="H58" i="126"/>
  <c r="D58" i="126"/>
  <c r="I55" i="126"/>
  <c r="H55" i="126"/>
  <c r="D55" i="126"/>
  <c r="I52" i="126"/>
  <c r="H52" i="126"/>
  <c r="D52" i="126"/>
  <c r="L18" i="126"/>
  <c r="L36" i="126" s="1"/>
  <c r="I18" i="126"/>
  <c r="D18" i="126"/>
  <c r="F11" i="126"/>
  <c r="I29" i="152"/>
  <c r="H29" i="152"/>
  <c r="D29" i="152"/>
  <c r="N19" i="152"/>
  <c r="K19" i="152"/>
  <c r="L19" i="152" s="1"/>
  <c r="I19" i="152"/>
  <c r="H19" i="152"/>
  <c r="D19" i="152"/>
  <c r="K18" i="152"/>
  <c r="L18" i="152" s="1"/>
  <c r="I18" i="152"/>
  <c r="H18" i="152"/>
  <c r="D18" i="152"/>
  <c r="F11" i="152"/>
  <c r="N18" i="117"/>
  <c r="Q18" i="117" s="1"/>
  <c r="L30" i="117"/>
  <c r="L32" i="117" s="1"/>
  <c r="I18" i="117"/>
  <c r="H18" i="117"/>
  <c r="D18" i="117"/>
  <c r="F11" i="117"/>
  <c r="I28" i="95"/>
  <c r="H28" i="95"/>
  <c r="D28" i="95"/>
  <c r="I27" i="95"/>
  <c r="H27" i="95"/>
  <c r="D27" i="95"/>
  <c r="I26" i="95"/>
  <c r="H26" i="95"/>
  <c r="D26" i="95"/>
  <c r="N19" i="95"/>
  <c r="K19" i="95"/>
  <c r="L19" i="95" s="1"/>
  <c r="I19" i="95"/>
  <c r="H19" i="95"/>
  <c r="D19" i="95"/>
  <c r="N18" i="95"/>
  <c r="K18" i="95"/>
  <c r="I18" i="95"/>
  <c r="H18" i="95"/>
  <c r="D18" i="95"/>
  <c r="F11" i="95"/>
  <c r="N20" i="91"/>
  <c r="K20" i="91"/>
  <c r="L20" i="91" s="1"/>
  <c r="I20" i="91"/>
  <c r="H20" i="91"/>
  <c r="K19" i="91"/>
  <c r="L19" i="91" s="1"/>
  <c r="I19" i="91"/>
  <c r="H19" i="91"/>
  <c r="N18" i="91"/>
  <c r="K18" i="91"/>
  <c r="I18" i="91"/>
  <c r="H18" i="91"/>
  <c r="D18" i="91"/>
  <c r="F11" i="91"/>
  <c r="K21" i="116"/>
  <c r="L21" i="116" s="1"/>
  <c r="I21" i="116"/>
  <c r="H21" i="116"/>
  <c r="D21" i="116"/>
  <c r="K20" i="116"/>
  <c r="L20" i="116" s="1"/>
  <c r="I20" i="116"/>
  <c r="H20" i="116"/>
  <c r="D20" i="116"/>
  <c r="K19" i="116"/>
  <c r="I19" i="116"/>
  <c r="H19" i="116"/>
  <c r="D19" i="116"/>
  <c r="N18" i="116"/>
  <c r="K18" i="116"/>
  <c r="L18" i="116" s="1"/>
  <c r="I18" i="116"/>
  <c r="H18" i="116"/>
  <c r="D18" i="116"/>
  <c r="F11" i="116"/>
  <c r="N18" i="146"/>
  <c r="K18" i="146"/>
  <c r="L18" i="146" s="1"/>
  <c r="L31" i="146" s="1"/>
  <c r="L33" i="146" s="1"/>
  <c r="I18" i="146"/>
  <c r="H18" i="146"/>
  <c r="D18" i="146"/>
  <c r="F11" i="146"/>
  <c r="N21" i="119"/>
  <c r="I21" i="119"/>
  <c r="H21" i="119"/>
  <c r="D21" i="119"/>
  <c r="N20" i="119"/>
  <c r="K20" i="119"/>
  <c r="L20" i="119" s="1"/>
  <c r="I20" i="119"/>
  <c r="H20" i="119"/>
  <c r="D20" i="119"/>
  <c r="N19" i="119"/>
  <c r="K19" i="119"/>
  <c r="L19" i="119" s="1"/>
  <c r="I19" i="119"/>
  <c r="H19" i="119"/>
  <c r="D19" i="119"/>
  <c r="N18" i="119"/>
  <c r="K18" i="119"/>
  <c r="L18" i="119" s="1"/>
  <c r="I18" i="119"/>
  <c r="H18" i="119"/>
  <c r="D18" i="119"/>
  <c r="F11" i="119"/>
  <c r="K18" i="92"/>
  <c r="L18" i="92" s="1"/>
  <c r="L32" i="92" s="1"/>
  <c r="L34" i="92" s="1"/>
  <c r="I18" i="92"/>
  <c r="H18" i="92"/>
  <c r="D18" i="92"/>
  <c r="F11" i="92"/>
  <c r="N18" i="86"/>
  <c r="K18" i="86"/>
  <c r="L18" i="86" s="1"/>
  <c r="I18" i="86"/>
  <c r="H18" i="86"/>
  <c r="D18" i="86"/>
  <c r="F11" i="86"/>
  <c r="F11" i="69"/>
  <c r="N18" i="99"/>
  <c r="K18" i="99"/>
  <c r="L18" i="99" s="1"/>
  <c r="L29" i="99" s="1"/>
  <c r="L31" i="99" s="1"/>
  <c r="I18" i="99"/>
  <c r="H18" i="99"/>
  <c r="D18" i="99"/>
  <c r="F11" i="99"/>
  <c r="N21" i="145"/>
  <c r="K21" i="145"/>
  <c r="L21" i="145" s="1"/>
  <c r="I21" i="145"/>
  <c r="H21" i="145"/>
  <c r="D21" i="145"/>
  <c r="K20" i="145"/>
  <c r="L20" i="145" s="1"/>
  <c r="I20" i="145"/>
  <c r="H20" i="145"/>
  <c r="D20" i="145"/>
  <c r="N19" i="145"/>
  <c r="K19" i="145"/>
  <c r="L19" i="145" s="1"/>
  <c r="I19" i="145"/>
  <c r="H19" i="145"/>
  <c r="D19" i="145"/>
  <c r="K18" i="145"/>
  <c r="L18" i="145" s="1"/>
  <c r="I18" i="145"/>
  <c r="H18" i="145"/>
  <c r="D18" i="145"/>
  <c r="T13" i="145"/>
  <c r="S13" i="145"/>
  <c r="O13" i="145"/>
  <c r="T12" i="145"/>
  <c r="S12" i="145"/>
  <c r="O12" i="145"/>
  <c r="T11" i="145"/>
  <c r="S11" i="145"/>
  <c r="O11" i="145"/>
  <c r="F11" i="145"/>
  <c r="N19" i="144"/>
  <c r="K19" i="144"/>
  <c r="L19" i="144" s="1"/>
  <c r="I19" i="144"/>
  <c r="H19" i="144"/>
  <c r="D19" i="144"/>
  <c r="N18" i="144"/>
  <c r="K18" i="144"/>
  <c r="L18" i="144" s="1"/>
  <c r="I18" i="144"/>
  <c r="H18" i="144"/>
  <c r="D18" i="144"/>
  <c r="F11" i="144"/>
  <c r="I24" i="128"/>
  <c r="H24" i="128"/>
  <c r="D24" i="128"/>
  <c r="N18" i="128"/>
  <c r="K18" i="128"/>
  <c r="L18" i="128" s="1"/>
  <c r="I18" i="128"/>
  <c r="H18" i="128"/>
  <c r="D18" i="128"/>
  <c r="F11" i="128"/>
  <c r="N19" i="97"/>
  <c r="K19" i="97"/>
  <c r="L19" i="97" s="1"/>
  <c r="I19" i="97"/>
  <c r="H19" i="97"/>
  <c r="D19" i="97"/>
  <c r="K18" i="97"/>
  <c r="L18" i="97" s="1"/>
  <c r="I18" i="97"/>
  <c r="H18" i="97"/>
  <c r="D18" i="97"/>
  <c r="F11" i="97"/>
  <c r="D19" i="94"/>
  <c r="N18" i="94"/>
  <c r="L18" i="94"/>
  <c r="I18" i="94"/>
  <c r="H18" i="94"/>
  <c r="D18" i="94"/>
  <c r="F11" i="94"/>
  <c r="F11" i="46"/>
  <c r="D19" i="83"/>
  <c r="D20" i="83"/>
  <c r="D22" i="83"/>
  <c r="D21" i="83"/>
  <c r="N18" i="83"/>
  <c r="K18" i="83"/>
  <c r="L18" i="83" s="1"/>
  <c r="I18" i="83"/>
  <c r="H18" i="83"/>
  <c r="D18" i="83"/>
  <c r="F11" i="83"/>
  <c r="I18" i="60"/>
  <c r="H18" i="60"/>
  <c r="D18" i="60"/>
  <c r="F11" i="60"/>
  <c r="N19" i="74"/>
  <c r="K19" i="74"/>
  <c r="L19" i="74" s="1"/>
  <c r="I19" i="74"/>
  <c r="H19" i="74"/>
  <c r="D19" i="74"/>
  <c r="N18" i="74"/>
  <c r="K18" i="74"/>
  <c r="L18" i="74" s="1"/>
  <c r="I18" i="74"/>
  <c r="H18" i="74"/>
  <c r="D18" i="74"/>
  <c r="F11" i="74"/>
  <c r="L27" i="56"/>
  <c r="L29" i="56" s="1"/>
  <c r="I18" i="56"/>
  <c r="H18" i="56"/>
  <c r="D18" i="56"/>
  <c r="F11" i="56"/>
  <c r="N18" i="71"/>
  <c r="K18" i="71"/>
  <c r="L18" i="71" s="1"/>
  <c r="I18" i="71"/>
  <c r="H18" i="71"/>
  <c r="D18" i="71"/>
  <c r="N16" i="71"/>
  <c r="F11" i="71"/>
  <c r="K22" i="110"/>
  <c r="L22" i="110" s="1"/>
  <c r="I22" i="110"/>
  <c r="H22" i="110"/>
  <c r="D22" i="110"/>
  <c r="K18" i="110"/>
  <c r="L18" i="110" s="1"/>
  <c r="I18" i="110"/>
  <c r="H18" i="110"/>
  <c r="D18" i="110"/>
  <c r="F11" i="110"/>
  <c r="F11" i="76"/>
  <c r="L28" i="70"/>
  <c r="L30" i="70" s="1"/>
  <c r="F11" i="70"/>
  <c r="N18" i="179"/>
  <c r="K18" i="179"/>
  <c r="L18" i="179" s="1"/>
  <c r="I18" i="179"/>
  <c r="H18" i="179"/>
  <c r="D18" i="179"/>
  <c r="F11" i="179"/>
  <c r="I31" i="176"/>
  <c r="H31" i="176"/>
  <c r="D31" i="176"/>
  <c r="N19" i="176"/>
  <c r="K19" i="176"/>
  <c r="L19" i="176" s="1"/>
  <c r="I19" i="176"/>
  <c r="H19" i="176"/>
  <c r="D19" i="176"/>
  <c r="K18" i="176"/>
  <c r="L18" i="176" s="1"/>
  <c r="I18" i="176"/>
  <c r="H18" i="176"/>
  <c r="D18" i="176"/>
  <c r="F11" i="176"/>
  <c r="I26" i="49"/>
  <c r="H26" i="49"/>
  <c r="D26" i="49"/>
  <c r="L18" i="49"/>
  <c r="L39" i="49" s="1"/>
  <c r="L41" i="49" s="1"/>
  <c r="I18" i="49"/>
  <c r="H18" i="49"/>
  <c r="D18" i="49"/>
  <c r="F11" i="49"/>
  <c r="F11" i="90"/>
  <c r="N19" i="219"/>
  <c r="K19" i="219"/>
  <c r="L19" i="219" s="1"/>
  <c r="I19" i="219"/>
  <c r="H19" i="219"/>
  <c r="D19" i="219"/>
  <c r="N18" i="219"/>
  <c r="K18" i="219"/>
  <c r="L18" i="219" s="1"/>
  <c r="I18" i="219"/>
  <c r="H18" i="219"/>
  <c r="D18" i="219"/>
  <c r="F11" i="219"/>
  <c r="K23" i="181"/>
  <c r="L23" i="181" s="1"/>
  <c r="I23" i="181"/>
  <c r="H23" i="181"/>
  <c r="D23" i="181"/>
  <c r="K22" i="181"/>
  <c r="L22" i="181" s="1"/>
  <c r="I22" i="181"/>
  <c r="H22" i="181"/>
  <c r="D22" i="181"/>
  <c r="K21" i="181"/>
  <c r="L21" i="181" s="1"/>
  <c r="I21" i="181"/>
  <c r="H21" i="181"/>
  <c r="D21" i="181"/>
  <c r="K19" i="181"/>
  <c r="L19" i="181" s="1"/>
  <c r="I19" i="181"/>
  <c r="H19" i="181"/>
  <c r="D19" i="181"/>
  <c r="K18" i="181"/>
  <c r="L18" i="181" s="1"/>
  <c r="I18" i="181"/>
  <c r="H18" i="181"/>
  <c r="D18" i="181"/>
  <c r="F11" i="181"/>
  <c r="I18" i="104"/>
  <c r="H18" i="104"/>
  <c r="D18" i="104"/>
  <c r="F11" i="104"/>
  <c r="N18" i="163"/>
  <c r="K18" i="163"/>
  <c r="L18" i="163" s="1"/>
  <c r="I18" i="163"/>
  <c r="H18" i="163"/>
  <c r="F11" i="163"/>
  <c r="N18" i="185"/>
  <c r="O18" i="185" s="1"/>
  <c r="P18" i="185" s="1"/>
  <c r="L18" i="185"/>
  <c r="L30" i="185" s="1"/>
  <c r="L32" i="185" s="1"/>
  <c r="I18" i="185"/>
  <c r="H18" i="185"/>
  <c r="D18" i="185"/>
  <c r="F11" i="185"/>
  <c r="I27" i="183"/>
  <c r="H27" i="183"/>
  <c r="D27" i="183"/>
  <c r="N18" i="183"/>
  <c r="K18" i="183"/>
  <c r="L18" i="183" s="1"/>
  <c r="L30" i="183" s="1"/>
  <c r="L32" i="183" s="1"/>
  <c r="I18" i="183"/>
  <c r="H18" i="183"/>
  <c r="D18" i="183"/>
  <c r="F11" i="183"/>
  <c r="N18" i="190"/>
  <c r="K18" i="190"/>
  <c r="L18" i="190" s="1"/>
  <c r="L36" i="190" s="1"/>
  <c r="L38" i="190" s="1"/>
  <c r="I18" i="190"/>
  <c r="H18" i="190"/>
  <c r="D18" i="190"/>
  <c r="F11" i="190"/>
  <c r="I18" i="87"/>
  <c r="H18" i="87"/>
  <c r="D18" i="87"/>
  <c r="F11" i="87"/>
  <c r="N18" i="52"/>
  <c r="L18" i="52"/>
  <c r="L28" i="52" s="1"/>
  <c r="L30" i="52" s="1"/>
  <c r="I18" i="52"/>
  <c r="H18" i="52"/>
  <c r="D18" i="52"/>
  <c r="F11" i="52"/>
  <c r="N19" i="195"/>
  <c r="I19" i="195"/>
  <c r="H19" i="195"/>
  <c r="D19" i="195"/>
  <c r="K18" i="195"/>
  <c r="L18" i="195" s="1"/>
  <c r="I18" i="195"/>
  <c r="H18" i="195"/>
  <c r="D18" i="195"/>
  <c r="F11" i="195"/>
  <c r="L23" i="203"/>
  <c r="I23" i="203"/>
  <c r="H23" i="203"/>
  <c r="D23" i="203"/>
  <c r="N22" i="203"/>
  <c r="O22" i="203" s="1"/>
  <c r="P22" i="203" s="1"/>
  <c r="L22" i="203"/>
  <c r="I22" i="203"/>
  <c r="H22" i="203"/>
  <c r="D22" i="203"/>
  <c r="L21" i="203"/>
  <c r="I21" i="203"/>
  <c r="H21" i="203"/>
  <c r="D21" i="203"/>
  <c r="L20" i="203"/>
  <c r="I20" i="203"/>
  <c r="H20" i="203"/>
  <c r="D20" i="203"/>
  <c r="N19" i="203"/>
  <c r="K19" i="203"/>
  <c r="L19" i="203" s="1"/>
  <c r="I19" i="203"/>
  <c r="H19" i="203"/>
  <c r="D19" i="203"/>
  <c r="N18" i="203"/>
  <c r="O18" i="203" s="1"/>
  <c r="P18" i="203" s="1"/>
  <c r="L18" i="203"/>
  <c r="I18" i="203"/>
  <c r="H18" i="203"/>
  <c r="D18" i="203"/>
  <c r="F11" i="203"/>
  <c r="I26" i="202"/>
  <c r="H26" i="202"/>
  <c r="D26" i="202"/>
  <c r="N21" i="202"/>
  <c r="K21" i="202"/>
  <c r="L21" i="202" s="1"/>
  <c r="I21" i="202"/>
  <c r="H21" i="202"/>
  <c r="D21" i="202"/>
  <c r="N20" i="202"/>
  <c r="K20" i="202"/>
  <c r="L20" i="202" s="1"/>
  <c r="I20" i="202"/>
  <c r="H20" i="202"/>
  <c r="D20" i="202"/>
  <c r="N19" i="202"/>
  <c r="K19" i="202"/>
  <c r="L19" i="202" s="1"/>
  <c r="I19" i="202"/>
  <c r="H19" i="202"/>
  <c r="D19" i="202"/>
  <c r="N18" i="202"/>
  <c r="K18" i="202"/>
  <c r="L18" i="202" s="1"/>
  <c r="I18" i="202"/>
  <c r="H18" i="202"/>
  <c r="D18" i="202"/>
  <c r="F11" i="202"/>
  <c r="I28" i="214"/>
  <c r="H28" i="214"/>
  <c r="D28" i="214"/>
  <c r="I25" i="214"/>
  <c r="H25" i="214"/>
  <c r="D25" i="214"/>
  <c r="I22" i="214"/>
  <c r="H22" i="214"/>
  <c r="D22" i="214"/>
  <c r="N18" i="214"/>
  <c r="K18" i="214"/>
  <c r="L18" i="214" s="1"/>
  <c r="L31" i="214" s="1"/>
  <c r="L33" i="214" s="1"/>
  <c r="I18" i="214"/>
  <c r="H18" i="214"/>
  <c r="D18" i="214"/>
  <c r="F11" i="214"/>
  <c r="I27" i="216"/>
  <c r="H27" i="216"/>
  <c r="D27" i="216"/>
  <c r="N18" i="216"/>
  <c r="K18" i="216"/>
  <c r="L18" i="216" s="1"/>
  <c r="L31" i="216" s="1"/>
  <c r="L33" i="216" s="1"/>
  <c r="I18" i="216"/>
  <c r="H18" i="216"/>
  <c r="D18" i="216"/>
  <c r="F11" i="216"/>
  <c r="L18" i="113"/>
  <c r="I18" i="113"/>
  <c r="H18" i="113"/>
  <c r="F11" i="113"/>
  <c r="K18" i="79"/>
  <c r="L18" i="79" s="1"/>
  <c r="I18" i="79"/>
  <c r="H18" i="79"/>
  <c r="D18" i="79"/>
  <c r="F11" i="79"/>
  <c r="I18" i="61"/>
  <c r="H18" i="61"/>
  <c r="D18" i="61"/>
  <c r="F11" i="61"/>
  <c r="K18" i="77"/>
  <c r="L18" i="77" s="1"/>
  <c r="I18" i="77"/>
  <c r="H18" i="77"/>
  <c r="F11" i="77"/>
  <c r="K18" i="45"/>
  <c r="L18" i="45" s="1"/>
  <c r="I18" i="45"/>
  <c r="H18" i="45"/>
  <c r="D18" i="45"/>
  <c r="F11" i="45"/>
  <c r="F11" i="120"/>
  <c r="N18" i="47"/>
  <c r="K18" i="47"/>
  <c r="L18" i="47" s="1"/>
  <c r="I18" i="47"/>
  <c r="H18" i="47"/>
  <c r="D18" i="47"/>
  <c r="F11" i="47"/>
  <c r="N18" i="130"/>
  <c r="K18" i="130"/>
  <c r="I18" i="130"/>
  <c r="H18" i="130"/>
  <c r="D18" i="130"/>
  <c r="F11" i="130"/>
  <c r="N19" i="132"/>
  <c r="K19" i="132"/>
  <c r="L19" i="132" s="1"/>
  <c r="I19" i="132"/>
  <c r="H19" i="132"/>
  <c r="D19" i="132"/>
  <c r="N18" i="132"/>
  <c r="K18" i="132"/>
  <c r="L18" i="132" s="1"/>
  <c r="I18" i="132"/>
  <c r="H18" i="132"/>
  <c r="D18" i="132"/>
  <c r="F11" i="132"/>
  <c r="I52" i="111"/>
  <c r="H52" i="111"/>
  <c r="D52" i="111"/>
  <c r="N18" i="111"/>
  <c r="K18" i="111"/>
  <c r="L18" i="111" s="1"/>
  <c r="I18" i="111"/>
  <c r="H18" i="111"/>
  <c r="F11" i="111"/>
  <c r="K19" i="85"/>
  <c r="L19" i="85" s="1"/>
  <c r="I19" i="85"/>
  <c r="H19" i="85"/>
  <c r="D19" i="85"/>
  <c r="K18" i="85"/>
  <c r="L18" i="85" s="1"/>
  <c r="I18" i="85"/>
  <c r="H18" i="85"/>
  <c r="D18" i="85"/>
  <c r="F11" i="85"/>
  <c r="N18" i="64"/>
  <c r="K18" i="64"/>
  <c r="L18" i="64" s="1"/>
  <c r="I18" i="64"/>
  <c r="H18" i="64"/>
  <c r="D18" i="64"/>
  <c r="F11" i="64"/>
  <c r="K18" i="65"/>
  <c r="L18" i="65" s="1"/>
  <c r="I18" i="65"/>
  <c r="H18" i="65"/>
  <c r="D18" i="65"/>
  <c r="N15" i="65"/>
  <c r="O15" i="65" s="1"/>
  <c r="F11" i="65"/>
  <c r="K20" i="55"/>
  <c r="L20" i="55" s="1"/>
  <c r="I20" i="55"/>
  <c r="H20" i="55"/>
  <c r="D20" i="55"/>
  <c r="K19" i="55"/>
  <c r="L19" i="55" s="1"/>
  <c r="I19" i="55"/>
  <c r="H19" i="55"/>
  <c r="D19" i="55"/>
  <c r="F11" i="55"/>
  <c r="K18" i="62"/>
  <c r="L18" i="62" s="1"/>
  <c r="I18" i="62"/>
  <c r="H18" i="62"/>
  <c r="D18" i="62"/>
  <c r="F11" i="62"/>
  <c r="F11" i="93"/>
  <c r="D20" i="228"/>
  <c r="D19" i="228"/>
  <c r="K18" i="228"/>
  <c r="L18" i="228" s="1"/>
  <c r="I18" i="228"/>
  <c r="H18" i="228"/>
  <c r="D18" i="228"/>
  <c r="F11" i="228"/>
  <c r="K18" i="101"/>
  <c r="L18" i="101" s="1"/>
  <c r="I18" i="101"/>
  <c r="H18" i="101"/>
  <c r="D18" i="101"/>
  <c r="F11" i="101"/>
  <c r="K18" i="224"/>
  <c r="L18" i="224" s="1"/>
  <c r="I18" i="224"/>
  <c r="H18" i="224"/>
  <c r="D18" i="224"/>
  <c r="F11" i="224"/>
  <c r="K18" i="226"/>
  <c r="L18" i="226" s="1"/>
  <c r="I18" i="226"/>
  <c r="H18" i="226"/>
  <c r="D18" i="226"/>
  <c r="F11" i="226"/>
  <c r="J155" i="6"/>
  <c r="I155" i="6"/>
  <c r="E155" i="6"/>
  <c r="J149" i="6"/>
  <c r="I149" i="6"/>
  <c r="E149" i="6"/>
  <c r="J148" i="6"/>
  <c r="I148" i="6"/>
  <c r="E148" i="6"/>
  <c r="EJ448" i="7"/>
  <c r="EI448" i="7"/>
  <c r="EK447" i="7"/>
  <c r="EJ447" i="7"/>
  <c r="EI447" i="7"/>
  <c r="EJ446" i="7"/>
  <c r="EI446" i="7"/>
  <c r="EJ445" i="7"/>
  <c r="EI445" i="7"/>
  <c r="EK444" i="7"/>
  <c r="EJ444" i="7"/>
  <c r="EI444" i="7"/>
  <c r="EJ443" i="7"/>
  <c r="EI443" i="7"/>
  <c r="EA443" i="7"/>
  <c r="EJ442" i="7"/>
  <c r="EI442" i="7"/>
  <c r="EA442" i="7"/>
  <c r="EJ441" i="7"/>
  <c r="EI441" i="7"/>
  <c r="EK440" i="7"/>
  <c r="EJ440" i="7"/>
  <c r="EI440" i="7"/>
  <c r="EK439" i="7"/>
  <c r="EJ439" i="7"/>
  <c r="EI439" i="7"/>
  <c r="EJ438" i="7"/>
  <c r="EI438" i="7"/>
  <c r="EA438" i="7"/>
  <c r="EJ437" i="7"/>
  <c r="EI437" i="7"/>
  <c r="EJ436" i="7"/>
  <c r="EI436" i="7"/>
  <c r="EJ435" i="7"/>
  <c r="EI435" i="7"/>
  <c r="EA435" i="7"/>
  <c r="EJ434" i="7"/>
  <c r="EI434" i="7"/>
  <c r="EA434" i="7"/>
  <c r="EJ433" i="7"/>
  <c r="EI433" i="7"/>
  <c r="EA433" i="7"/>
  <c r="EJ432" i="7"/>
  <c r="EI432" i="7"/>
  <c r="EA432" i="7"/>
  <c r="EJ428" i="7"/>
  <c r="EJ427" i="7"/>
  <c r="EI427" i="7"/>
  <c r="EJ426" i="7"/>
  <c r="EI426" i="7"/>
  <c r="EK425" i="7"/>
  <c r="EJ425" i="7"/>
  <c r="EI425" i="7"/>
  <c r="EK424" i="7"/>
  <c r="EJ424" i="7"/>
  <c r="EI424" i="7"/>
  <c r="EK423" i="7"/>
  <c r="EJ423" i="7"/>
  <c r="EI423" i="7"/>
  <c r="EJ422" i="7"/>
  <c r="EI422" i="7"/>
  <c r="EK421" i="7"/>
  <c r="EJ421" i="7"/>
  <c r="EI421" i="7"/>
  <c r="EK420" i="7"/>
  <c r="EJ420" i="7"/>
  <c r="EI420" i="7"/>
  <c r="EJ419" i="7"/>
  <c r="EI419" i="7"/>
  <c r="EJ418" i="7"/>
  <c r="EI418" i="7"/>
  <c r="EK417" i="7"/>
  <c r="EJ417" i="7"/>
  <c r="EI417" i="7"/>
  <c r="EK416" i="7"/>
  <c r="EJ416" i="7"/>
  <c r="EI416" i="7"/>
  <c r="EJ415" i="7"/>
  <c r="EI415" i="7"/>
  <c r="EK414" i="7"/>
  <c r="EJ414" i="7"/>
  <c r="EI414" i="7"/>
  <c r="EJ413" i="7"/>
  <c r="EI413" i="7"/>
  <c r="EK412" i="7"/>
  <c r="EJ412" i="7"/>
  <c r="EI412" i="7"/>
  <c r="EJ411" i="7"/>
  <c r="EK410" i="7"/>
  <c r="EJ410" i="7"/>
  <c r="EK409" i="7"/>
  <c r="EJ409" i="7"/>
  <c r="EJ408" i="7"/>
  <c r="EI408" i="7"/>
  <c r="EJ407" i="7"/>
  <c r="EJ406" i="7"/>
  <c r="EI405" i="7"/>
  <c r="EJ404" i="7"/>
  <c r="EI404" i="7"/>
  <c r="EJ403" i="7"/>
  <c r="EI403" i="7"/>
  <c r="EJ402" i="7"/>
  <c r="EI402" i="7"/>
  <c r="EJ400" i="7"/>
  <c r="EI400" i="7"/>
  <c r="BL400" i="7"/>
  <c r="EK400" i="7" s="1"/>
  <c r="EJ399" i="7"/>
  <c r="EI399" i="7"/>
  <c r="EK398" i="7"/>
  <c r="EJ398" i="7"/>
  <c r="EI398" i="7"/>
  <c r="EK397" i="7"/>
  <c r="EJ397" i="7"/>
  <c r="EI397" i="7"/>
  <c r="EK396" i="7"/>
  <c r="EJ396" i="7"/>
  <c r="EI396" i="7"/>
  <c r="EJ395" i="7"/>
  <c r="EI395" i="7"/>
  <c r="EK395" i="7"/>
  <c r="EK394" i="7"/>
  <c r="EJ394" i="7"/>
  <c r="EI394" i="7"/>
  <c r="EJ393" i="7"/>
  <c r="EI393" i="7"/>
  <c r="EK392" i="7"/>
  <c r="EJ392" i="7"/>
  <c r="EK391" i="7"/>
  <c r="EJ391" i="7"/>
  <c r="EI391" i="7"/>
  <c r="EK390" i="7"/>
  <c r="EJ390" i="7"/>
  <c r="EI390" i="7"/>
  <c r="EJ389" i="7"/>
  <c r="EI389" i="7"/>
  <c r="EJ388" i="7"/>
  <c r="EI388" i="7"/>
  <c r="EJ387" i="7"/>
  <c r="EI387" i="7"/>
  <c r="CS387" i="7"/>
  <c r="EK385" i="7"/>
  <c r="EJ385" i="7"/>
  <c r="EI385" i="7"/>
  <c r="EJ383" i="7"/>
  <c r="EI383" i="7"/>
  <c r="EK382" i="7"/>
  <c r="EK381" i="7"/>
  <c r="EJ381" i="7"/>
  <c r="EI381" i="7"/>
  <c r="EK380" i="7"/>
  <c r="EJ380" i="7"/>
  <c r="EI380" i="7"/>
  <c r="EJ379" i="7"/>
  <c r="EI379" i="7"/>
  <c r="EJ378" i="7"/>
  <c r="EI378" i="7"/>
  <c r="EJ377" i="7"/>
  <c r="EK376" i="7"/>
  <c r="EJ376" i="7"/>
  <c r="EI376" i="7"/>
  <c r="EJ375" i="7"/>
  <c r="EI375" i="7"/>
  <c r="EJ372" i="7"/>
  <c r="EJ370" i="7"/>
  <c r="EI370" i="7"/>
  <c r="EJ368" i="7"/>
  <c r="EI368" i="7"/>
  <c r="EJ367" i="7"/>
  <c r="EJ366" i="7"/>
  <c r="EJ363" i="7"/>
  <c r="EI363" i="7"/>
  <c r="EJ362" i="7"/>
  <c r="EI361" i="7"/>
  <c r="EJ360" i="7"/>
  <c r="EI360" i="7"/>
  <c r="EJ342" i="7"/>
  <c r="EI342" i="7"/>
  <c r="EK341" i="7"/>
  <c r="EJ341" i="7"/>
  <c r="EI341" i="7"/>
  <c r="EJ340" i="7"/>
  <c r="EI340" i="7"/>
  <c r="EK339" i="7"/>
  <c r="EJ339" i="7"/>
  <c r="EI339" i="7"/>
  <c r="EK338" i="7"/>
  <c r="EJ338" i="7"/>
  <c r="EI338" i="7"/>
  <c r="EK337" i="7"/>
  <c r="EJ337" i="7"/>
  <c r="EI337" i="7"/>
  <c r="EK336" i="7"/>
  <c r="EJ336" i="7"/>
  <c r="EI336" i="7"/>
  <c r="EJ335" i="7"/>
  <c r="EI335" i="7"/>
  <c r="EJ334" i="7"/>
  <c r="EI334" i="7"/>
  <c r="EJ333" i="7"/>
  <c r="EI333" i="7"/>
  <c r="EJ332" i="7"/>
  <c r="EI332" i="7"/>
  <c r="EJ331" i="7"/>
  <c r="EI331" i="7"/>
  <c r="EJ330" i="7"/>
  <c r="EI330" i="7"/>
  <c r="EI329" i="7"/>
  <c r="EK328" i="7"/>
  <c r="EJ328" i="7"/>
  <c r="EI328" i="7"/>
  <c r="EJ326" i="7"/>
  <c r="EI326" i="7"/>
  <c r="EJ325" i="7"/>
  <c r="EI325" i="7"/>
  <c r="EK324" i="7"/>
  <c r="EJ324" i="7"/>
  <c r="EI324" i="7"/>
  <c r="EK323" i="7"/>
  <c r="EJ323" i="7"/>
  <c r="EI323" i="7"/>
  <c r="EJ322" i="7"/>
  <c r="EI322" i="7"/>
  <c r="EK321" i="7"/>
  <c r="EJ321" i="7"/>
  <c r="EI321" i="7"/>
  <c r="EK320" i="7"/>
  <c r="EJ320" i="7"/>
  <c r="EI320" i="7"/>
  <c r="EJ319" i="7"/>
  <c r="EI319" i="7"/>
  <c r="EK315" i="7"/>
  <c r="EJ315" i="7"/>
  <c r="EJ314" i="7"/>
  <c r="EI314" i="7"/>
  <c r="EK313" i="7"/>
  <c r="EJ312" i="7"/>
  <c r="EI312" i="7"/>
  <c r="EK311" i="7"/>
  <c r="EJ311" i="7"/>
  <c r="EJ310" i="7"/>
  <c r="EI310" i="7"/>
  <c r="EK309" i="7"/>
  <c r="EJ309" i="7"/>
  <c r="EK308" i="7"/>
  <c r="EJ308" i="7"/>
  <c r="EI308" i="7"/>
  <c r="EI307" i="7"/>
  <c r="EJ306" i="7"/>
  <c r="EI306" i="7"/>
  <c r="EI305" i="7"/>
  <c r="EK304" i="7"/>
  <c r="EJ304" i="7"/>
  <c r="EI304" i="7"/>
  <c r="K18" i="157"/>
  <c r="L18" i="157" s="1"/>
  <c r="EI303" i="7"/>
  <c r="EJ302" i="7"/>
  <c r="EI302" i="7"/>
  <c r="EK301" i="7"/>
  <c r="EJ301" i="7"/>
  <c r="EI301" i="7"/>
  <c r="EJ300" i="7"/>
  <c r="EI300" i="7"/>
  <c r="EJ299" i="7"/>
  <c r="EI299" i="7"/>
  <c r="EJ298" i="7"/>
  <c r="EK297" i="7"/>
  <c r="EJ297" i="7"/>
  <c r="EI296" i="7"/>
  <c r="EJ295" i="7"/>
  <c r="EI295" i="7"/>
  <c r="EJ294" i="7"/>
  <c r="EI294" i="7"/>
  <c r="EI293" i="7"/>
  <c r="AA292" i="7"/>
  <c r="EJ291" i="7"/>
  <c r="EI291" i="7"/>
  <c r="DL290" i="7"/>
  <c r="EJ290" i="7"/>
  <c r="EJ289" i="7"/>
  <c r="EI289" i="7"/>
  <c r="EJ285" i="7"/>
  <c r="EJ284" i="7"/>
  <c r="EI284" i="7"/>
  <c r="EJ282" i="7"/>
  <c r="EJ281" i="7"/>
  <c r="EJ280" i="7"/>
  <c r="EI280" i="7"/>
  <c r="EJ268" i="7"/>
  <c r="EI268" i="7"/>
  <c r="EJ267" i="7"/>
  <c r="EI267" i="7"/>
  <c r="EJ266" i="7"/>
  <c r="EJ265" i="7"/>
  <c r="EI265" i="7"/>
  <c r="EJ264" i="7"/>
  <c r="EI264" i="7"/>
  <c r="EI263" i="7"/>
  <c r="EJ262" i="7"/>
  <c r="EJ261" i="7"/>
  <c r="EJ260" i="7"/>
  <c r="EI260" i="7"/>
  <c r="EJ259" i="7"/>
  <c r="EI259" i="7"/>
  <c r="EJ258" i="7"/>
  <c r="EI258" i="7"/>
  <c r="EJ257" i="7"/>
  <c r="EI257" i="7"/>
  <c r="EK256" i="7"/>
  <c r="EJ256" i="7"/>
  <c r="EI256" i="7"/>
  <c r="EK255" i="7"/>
  <c r="EJ255" i="7"/>
  <c r="EI255" i="7"/>
  <c r="EK254" i="7"/>
  <c r="EJ254" i="7"/>
  <c r="EK253" i="7"/>
  <c r="EJ253" i="7"/>
  <c r="EI253" i="7"/>
  <c r="EK252" i="7"/>
  <c r="EJ252" i="7"/>
  <c r="EI252" i="7"/>
  <c r="EK251" i="7"/>
  <c r="EJ251" i="7"/>
  <c r="EI251" i="7"/>
  <c r="EK250" i="7"/>
  <c r="EJ250" i="7"/>
  <c r="EK249" i="7"/>
  <c r="EJ249" i="7"/>
  <c r="EJ248" i="7"/>
  <c r="EI248" i="7"/>
  <c r="EJ246" i="7"/>
  <c r="EI246" i="7"/>
  <c r="EJ245" i="7"/>
  <c r="EK243" i="7"/>
  <c r="EJ243" i="7"/>
  <c r="EI243" i="7"/>
  <c r="EK240" i="7"/>
  <c r="EJ239" i="7"/>
  <c r="EI239" i="7"/>
  <c r="EK237" i="7"/>
  <c r="EJ237" i="7"/>
  <c r="EI237" i="7"/>
  <c r="EJ235" i="7"/>
  <c r="EJ234" i="7"/>
  <c r="EI234" i="7"/>
  <c r="EJ232" i="7"/>
  <c r="EI232" i="7"/>
  <c r="EH230" i="7"/>
  <c r="EJ230" i="7"/>
  <c r="EJ229" i="7"/>
  <c r="EI229" i="7"/>
  <c r="EJ228" i="7"/>
  <c r="EI228" i="7"/>
  <c r="EJ227" i="7"/>
  <c r="EI227" i="7"/>
  <c r="EI225" i="7"/>
  <c r="EJ224" i="7"/>
  <c r="EK223" i="7"/>
  <c r="EI223" i="7"/>
  <c r="EJ221" i="7"/>
  <c r="EJ220" i="7"/>
  <c r="EI220" i="7"/>
  <c r="EJ219" i="7"/>
  <c r="EJ218" i="7"/>
  <c r="EI218" i="7"/>
  <c r="EK217" i="7"/>
  <c r="EJ217" i="7"/>
  <c r="EI217" i="7"/>
  <c r="EK215" i="7"/>
  <c r="EJ215" i="7"/>
  <c r="EI215" i="7"/>
  <c r="EJ214" i="7"/>
  <c r="EI214" i="7"/>
  <c r="EK213" i="7"/>
  <c r="EJ213" i="7"/>
  <c r="EJ212" i="7"/>
  <c r="EI212" i="7"/>
  <c r="EK211" i="7"/>
  <c r="EI211" i="7"/>
  <c r="EK210" i="7"/>
  <c r="EI209" i="7"/>
  <c r="EJ208" i="7"/>
  <c r="EI208" i="7"/>
  <c r="EK207" i="7"/>
  <c r="EK206" i="7"/>
  <c r="EJ204" i="7"/>
  <c r="EI204" i="7"/>
  <c r="EK203" i="7"/>
  <c r="EI203" i="7"/>
  <c r="EK201" i="7"/>
  <c r="EJ201" i="7"/>
  <c r="EI201" i="7"/>
  <c r="EH200" i="7"/>
  <c r="EK199" i="7"/>
  <c r="EJ197" i="7"/>
  <c r="EJ196" i="7"/>
  <c r="EI196" i="7"/>
  <c r="DW195" i="7"/>
  <c r="EJ194" i="7"/>
  <c r="BZ193" i="7"/>
  <c r="K21" i="157" s="1"/>
  <c r="L21" i="157" s="1"/>
  <c r="EI193" i="7"/>
  <c r="EK192" i="7"/>
  <c r="EJ192" i="7"/>
  <c r="EI192" i="7"/>
  <c r="EK191" i="7"/>
  <c r="EK190" i="7"/>
  <c r="EK189" i="7"/>
  <c r="EJ189" i="7"/>
  <c r="EK188" i="7"/>
  <c r="EJ188" i="7"/>
  <c r="N20" i="181"/>
  <c r="O20" i="181" s="1"/>
  <c r="P20" i="181" s="1"/>
  <c r="EK187" i="7"/>
  <c r="EI187" i="7"/>
  <c r="EJ186" i="7"/>
  <c r="EI186" i="7"/>
  <c r="EK185" i="7"/>
  <c r="EJ185" i="7"/>
  <c r="EI185" i="7"/>
  <c r="EK184" i="7"/>
  <c r="EJ184" i="7"/>
  <c r="EI184" i="7"/>
  <c r="EK182" i="7"/>
  <c r="EK181" i="7"/>
  <c r="EK179" i="7"/>
  <c r="EJ182" i="7"/>
  <c r="EK178" i="7"/>
  <c r="EK177" i="7"/>
  <c r="EK176" i="7"/>
  <c r="EK174" i="7"/>
  <c r="EK172" i="7"/>
  <c r="EJ172" i="7"/>
  <c r="EI172" i="7"/>
  <c r="EK171" i="7"/>
  <c r="EJ171" i="7"/>
  <c r="EI170" i="7"/>
  <c r="EJ169" i="7"/>
  <c r="EK166" i="7"/>
  <c r="EJ166" i="7"/>
  <c r="EI166" i="7"/>
  <c r="EJ165" i="7"/>
  <c r="EK164" i="7"/>
  <c r="EJ164" i="7"/>
  <c r="EK163" i="7"/>
  <c r="EJ163" i="7"/>
  <c r="N18" i="235"/>
  <c r="O18" i="235" s="1"/>
  <c r="P18" i="235" s="1"/>
  <c r="EH161" i="7"/>
  <c r="EK160" i="7"/>
  <c r="EJ160" i="7"/>
  <c r="EI160" i="7"/>
  <c r="EK158" i="7"/>
  <c r="EH158" i="7"/>
  <c r="EJ157" i="7"/>
  <c r="EI157" i="7"/>
  <c r="EI156" i="7"/>
  <c r="N18" i="110"/>
  <c r="EJ155" i="7"/>
  <c r="EJ154" i="7"/>
  <c r="EJ153" i="7"/>
  <c r="EI153" i="7"/>
  <c r="EK145" i="7"/>
  <c r="EJ145" i="7"/>
  <c r="EI145" i="7"/>
  <c r="EJ143" i="7"/>
  <c r="EI143" i="7"/>
  <c r="EK141" i="7"/>
  <c r="EJ141" i="7"/>
  <c r="EI141" i="7"/>
  <c r="EJ140" i="7"/>
  <c r="EI140" i="7"/>
  <c r="EJ139" i="7"/>
  <c r="EI139" i="7"/>
  <c r="EJ137" i="7"/>
  <c r="EI137" i="7"/>
  <c r="EK136" i="7"/>
  <c r="EJ136" i="7"/>
  <c r="EI136" i="7"/>
  <c r="EK135" i="7"/>
  <c r="EI135" i="7"/>
  <c r="EK134" i="7"/>
  <c r="EJ134" i="7"/>
  <c r="EI134" i="7"/>
  <c r="EK133" i="7"/>
  <c r="EJ133" i="7"/>
  <c r="EI133" i="7"/>
  <c r="EK131" i="7"/>
  <c r="EK130" i="7"/>
  <c r="EI130" i="7"/>
  <c r="EJ129" i="7"/>
  <c r="EI129" i="7"/>
  <c r="EK128" i="7"/>
  <c r="EJ128" i="7"/>
  <c r="EI128" i="7"/>
  <c r="EJ127" i="7"/>
  <c r="EI127" i="7"/>
  <c r="EJ126" i="7"/>
  <c r="EJ125" i="7"/>
  <c r="EI125" i="7"/>
  <c r="EJ124" i="7"/>
  <c r="EI124" i="7"/>
  <c r="EK123" i="7"/>
  <c r="EI123" i="7"/>
  <c r="EJ122" i="7"/>
  <c r="EI122" i="7"/>
  <c r="EK121" i="7"/>
  <c r="EJ121" i="7"/>
  <c r="EI121" i="7"/>
  <c r="EN120" i="7"/>
  <c r="EO120" i="7" s="1"/>
  <c r="DU120" i="7"/>
  <c r="EK120" i="7" s="1"/>
  <c r="EI120" i="7"/>
  <c r="EN119" i="7"/>
  <c r="EK119" i="7"/>
  <c r="EJ119" i="7"/>
  <c r="EI119" i="7"/>
  <c r="EK117" i="7"/>
  <c r="EJ117" i="7"/>
  <c r="EI116" i="7"/>
  <c r="EK115" i="7"/>
  <c r="EJ115" i="7"/>
  <c r="EJ114" i="7"/>
  <c r="EI114" i="7"/>
  <c r="EK113" i="7"/>
  <c r="EJ113" i="7"/>
  <c r="EI113" i="7"/>
  <c r="EK112" i="7"/>
  <c r="EJ112" i="7"/>
  <c r="EI112" i="7"/>
  <c r="EJ111" i="7"/>
  <c r="EJ109" i="7"/>
  <c r="EI109" i="7"/>
  <c r="EK108" i="7"/>
  <c r="EJ108" i="7"/>
  <c r="EI108" i="7"/>
  <c r="EJ107" i="7"/>
  <c r="EI107" i="7"/>
  <c r="EK104" i="7"/>
  <c r="EI104" i="7"/>
  <c r="EK103" i="7"/>
  <c r="EK102" i="7"/>
  <c r="EJ102" i="7"/>
  <c r="EI102" i="7"/>
  <c r="EJ98" i="7"/>
  <c r="EI98" i="7"/>
  <c r="EJ97" i="7"/>
  <c r="EK95" i="7"/>
  <c r="EJ95" i="7"/>
  <c r="EJ94" i="7"/>
  <c r="EH94" i="7"/>
  <c r="EI94" i="7" s="1"/>
  <c r="EJ91" i="7"/>
  <c r="N19" i="121"/>
  <c r="EJ90" i="7"/>
  <c r="EJ89" i="7"/>
  <c r="EI89" i="7"/>
  <c r="EJ88" i="7"/>
  <c r="EJ87" i="7"/>
  <c r="EJ86" i="7"/>
  <c r="EI86" i="7"/>
  <c r="EK80" i="7"/>
  <c r="EJ80" i="7"/>
  <c r="EI80" i="7"/>
  <c r="EK75" i="7"/>
  <c r="EJ75" i="7"/>
  <c r="EI75" i="7"/>
  <c r="EJ74" i="7"/>
  <c r="EI74" i="7"/>
  <c r="EJ73" i="7"/>
  <c r="EI73" i="7"/>
  <c r="EJ72" i="7"/>
  <c r="EI72" i="7"/>
  <c r="EJ71" i="7"/>
  <c r="EI70" i="7"/>
  <c r="EJ69" i="7"/>
  <c r="EI69" i="7"/>
  <c r="EJ44" i="7"/>
  <c r="EI44" i="7"/>
  <c r="EJ43" i="7"/>
  <c r="EI43" i="7"/>
  <c r="EK41" i="7"/>
  <c r="EJ41" i="7"/>
  <c r="EI41" i="7"/>
  <c r="EK39" i="7"/>
  <c r="EJ39" i="7"/>
  <c r="EI39" i="7"/>
  <c r="EK37" i="7"/>
  <c r="EJ37" i="7"/>
  <c r="EI37" i="7"/>
  <c r="EJ35" i="7"/>
  <c r="EI35" i="7"/>
  <c r="EJ32" i="7"/>
  <c r="EI32" i="7"/>
  <c r="EJ31" i="7"/>
  <c r="EI31" i="7"/>
  <c r="EK30" i="7"/>
  <c r="EJ30" i="7"/>
  <c r="EI30" i="7"/>
  <c r="EK29" i="7"/>
  <c r="EJ29" i="7"/>
  <c r="EI29" i="7"/>
  <c r="EJ28" i="7"/>
  <c r="EI28" i="7"/>
  <c r="EK28" i="7"/>
  <c r="EK27" i="7"/>
  <c r="EJ27" i="7"/>
  <c r="EI27" i="7"/>
  <c r="EJ26" i="7"/>
  <c r="EI26" i="7"/>
  <c r="DI26" i="7"/>
  <c r="EJ25" i="7"/>
  <c r="EI25" i="7"/>
  <c r="EK24" i="7"/>
  <c r="EJ24" i="7"/>
  <c r="EI24" i="7"/>
  <c r="EJ22" i="7"/>
  <c r="EI22" i="7"/>
  <c r="AB22" i="7"/>
  <c r="EJ21" i="7"/>
  <c r="EI21" i="7"/>
  <c r="EJ20" i="7"/>
  <c r="EI20" i="7"/>
  <c r="EJ19" i="7"/>
  <c r="EI19" i="7"/>
  <c r="EJ18" i="7"/>
  <c r="EI18" i="7"/>
  <c r="EJ17" i="7"/>
  <c r="EI17" i="7"/>
  <c r="EJ16" i="7"/>
  <c r="EI16" i="7"/>
  <c r="EJ15" i="7"/>
  <c r="EI15" i="7"/>
  <c r="EK14" i="7"/>
  <c r="EJ14" i="7"/>
  <c r="EI14" i="7"/>
  <c r="EJ13" i="7"/>
  <c r="EI13" i="7"/>
  <c r="EJ12" i="7"/>
  <c r="EI12" i="7"/>
  <c r="R12" i="7"/>
  <c r="K19" i="21" s="1"/>
  <c r="EJ10" i="7"/>
  <c r="EI10" i="7"/>
  <c r="EJ8" i="7"/>
  <c r="EI8" i="7"/>
  <c r="N18" i="176"/>
  <c r="EK7" i="7"/>
  <c r="EJ7" i="7"/>
  <c r="EI7" i="7"/>
  <c r="EJ5" i="7"/>
  <c r="EI5" i="7"/>
  <c r="EJ4" i="7"/>
  <c r="EI4" i="7"/>
  <c r="EJ3" i="7"/>
  <c r="EI3" i="7"/>
  <c r="EG1" i="7"/>
  <c r="EE1" i="7"/>
  <c r="DE1" i="7"/>
  <c r="DF1" i="7" s="1"/>
  <c r="DG1" i="7" s="1"/>
  <c r="DH1" i="7" s="1"/>
  <c r="DI1" i="7" s="1"/>
  <c r="DJ1" i="7" s="1"/>
  <c r="DK1" i="7" s="1"/>
  <c r="DL1" i="7" s="1"/>
  <c r="DM1" i="7" s="1"/>
  <c r="DN1" i="7" s="1"/>
  <c r="DO1" i="7" s="1"/>
  <c r="DP1" i="7" s="1"/>
  <c r="DQ1" i="7" s="1"/>
  <c r="DR1" i="7" s="1"/>
  <c r="DS1" i="7" s="1"/>
  <c r="DT1" i="7" s="1"/>
  <c r="DU1" i="7" s="1"/>
  <c r="DV1" i="7" s="1"/>
  <c r="DW1" i="7" s="1"/>
  <c r="DX1" i="7" s="1"/>
  <c r="DY1" i="7" s="1"/>
  <c r="DZ1" i="7" s="1"/>
  <c r="EA1" i="7" s="1"/>
  <c r="EB1" i="7" s="1"/>
  <c r="EC1" i="7" s="1"/>
  <c r="CB1" i="7"/>
  <c r="CC1" i="7" s="1"/>
  <c r="CD1" i="7" s="1"/>
  <c r="CE1" i="7" s="1"/>
  <c r="CF1" i="7" s="1"/>
  <c r="CG1" i="7" s="1"/>
  <c r="CH1" i="7" s="1"/>
  <c r="CI1" i="7" s="1"/>
  <c r="CJ1" i="7" s="1"/>
  <c r="CK1" i="7" s="1"/>
  <c r="CL1" i="7" s="1"/>
  <c r="CM1" i="7" s="1"/>
  <c r="CN1" i="7" s="1"/>
  <c r="CO1" i="7" s="1"/>
  <c r="CP1" i="7" s="1"/>
  <c r="CQ1" i="7" s="1"/>
  <c r="CR1" i="7" s="1"/>
  <c r="CS1" i="7" s="1"/>
  <c r="CT1" i="7" s="1"/>
  <c r="CU1" i="7" s="1"/>
  <c r="CV1" i="7" s="1"/>
  <c r="CW1" i="7" s="1"/>
  <c r="CX1" i="7" s="1"/>
  <c r="CY1" i="7" s="1"/>
  <c r="CZ1" i="7" s="1"/>
  <c r="DA1" i="7" s="1"/>
  <c r="DB1" i="7" s="1"/>
  <c r="DC1" i="7" s="1"/>
  <c r="BH1" i="7"/>
  <c r="BI1" i="7" s="1"/>
  <c r="BJ1" i="7" s="1"/>
  <c r="BK1" i="7" s="1"/>
  <c r="BL1" i="7" s="1"/>
  <c r="BM1" i="7" s="1"/>
  <c r="BN1" i="7" s="1"/>
  <c r="BO1" i="7" s="1"/>
  <c r="BP1" i="7" s="1"/>
  <c r="BQ1" i="7" s="1"/>
  <c r="BR1" i="7" s="1"/>
  <c r="BS1" i="7" s="1"/>
  <c r="BT1" i="7" s="1"/>
  <c r="BU1" i="7" s="1"/>
  <c r="BV1" i="7" s="1"/>
  <c r="BW1" i="7" s="1"/>
  <c r="BX1" i="7" s="1"/>
  <c r="BY1" i="7" s="1"/>
  <c r="BZ1" i="7" s="1"/>
  <c r="AX1" i="7"/>
  <c r="AY1" i="7" s="1"/>
  <c r="AZ1" i="7" s="1"/>
  <c r="BA1" i="7" s="1"/>
  <c r="BB1" i="7" s="1"/>
  <c r="BC1" i="7" s="1"/>
  <c r="BD1" i="7" s="1"/>
  <c r="BE1" i="7" s="1"/>
  <c r="BF1" i="7" s="1"/>
  <c r="E1" i="7"/>
  <c r="F1" i="7" s="1"/>
  <c r="G1" i="7" s="1"/>
  <c r="H1" i="7" s="1"/>
  <c r="I1" i="7" s="1"/>
  <c r="J1" i="7" s="1"/>
  <c r="K1" i="7" s="1"/>
  <c r="L1" i="7" s="1"/>
  <c r="M1" i="7" s="1"/>
  <c r="N1" i="7" s="1"/>
  <c r="P1" i="7" s="1"/>
  <c r="Q1" i="7" s="1"/>
  <c r="R1" i="7" s="1"/>
  <c r="S1" i="7" s="1"/>
  <c r="T1" i="7" s="1"/>
  <c r="U1" i="7" s="1"/>
  <c r="V1" i="7" s="1"/>
  <c r="W1" i="7" s="1"/>
  <c r="X1" i="7" s="1"/>
  <c r="Z1" i="7" s="1"/>
  <c r="AA1" i="7" s="1"/>
  <c r="AB1" i="7" s="1"/>
  <c r="AC1" i="7" s="1"/>
  <c r="AD1" i="7" s="1"/>
  <c r="AE1" i="7" s="1"/>
  <c r="AF1" i="7" s="1"/>
  <c r="AG1" i="7" s="1"/>
  <c r="K18" i="104" l="1"/>
  <c r="L18" i="104" s="1"/>
  <c r="K19" i="104"/>
  <c r="K26" i="87"/>
  <c r="L26" i="87" s="1"/>
  <c r="K19" i="87"/>
  <c r="AH1" i="7"/>
  <c r="AI1" i="7" s="1"/>
  <c r="AJ1" i="7" s="1"/>
  <c r="AK1" i="7" s="1"/>
  <c r="AL1" i="7" s="1"/>
  <c r="AM1" i="7" s="1"/>
  <c r="AN1" i="7" s="1"/>
  <c r="AO1" i="7" s="1"/>
  <c r="AP1" i="7" s="1"/>
  <c r="AQ1" i="7" s="1"/>
  <c r="AR1" i="7" s="1"/>
  <c r="AS1" i="7" s="1"/>
  <c r="AT1" i="7" s="1"/>
  <c r="AV1" i="7" s="1"/>
  <c r="L18" i="88"/>
  <c r="O18" i="88"/>
  <c r="P18" i="88" s="1"/>
  <c r="L21" i="88"/>
  <c r="O21" i="88"/>
  <c r="P21" i="88" s="1"/>
  <c r="L19" i="88"/>
  <c r="O19" i="88"/>
  <c r="P19" i="88" s="1"/>
  <c r="L20" i="88"/>
  <c r="O20" i="88"/>
  <c r="P20" i="88" s="1"/>
  <c r="Q19" i="176"/>
  <c r="Q23" i="176" s="1"/>
  <c r="R19" i="176"/>
  <c r="R23" i="176" s="1"/>
  <c r="R18" i="176"/>
  <c r="Q18" i="176"/>
  <c r="R18" i="183"/>
  <c r="S18" i="183"/>
  <c r="N18" i="77"/>
  <c r="O18" i="77" s="1"/>
  <c r="P18" i="77" s="1"/>
  <c r="N18" i="113"/>
  <c r="O18" i="113" s="1"/>
  <c r="P18" i="113" s="1"/>
  <c r="L18" i="61"/>
  <c r="O18" i="61"/>
  <c r="P18" i="61" s="1"/>
  <c r="K19" i="157"/>
  <c r="L19" i="157" s="1"/>
  <c r="N20" i="145"/>
  <c r="O20" i="145" s="1"/>
  <c r="P20" i="145" s="1"/>
  <c r="N18" i="230"/>
  <c r="O18" i="230" s="1"/>
  <c r="P18" i="230" s="1"/>
  <c r="L32" i="81"/>
  <c r="L30" i="81" s="1"/>
  <c r="L19" i="121"/>
  <c r="O19" i="121"/>
  <c r="P19" i="121" s="1"/>
  <c r="L18" i="121"/>
  <c r="O18" i="121"/>
  <c r="P18" i="121" s="1"/>
  <c r="N19" i="231"/>
  <c r="O19" i="231" s="1"/>
  <c r="P19" i="231" s="1"/>
  <c r="N18" i="62"/>
  <c r="O18" i="62" s="1"/>
  <c r="P18" i="62" s="1"/>
  <c r="K19" i="234"/>
  <c r="L19" i="234" s="1"/>
  <c r="L35" i="234" s="1"/>
  <c r="L37" i="234" s="1"/>
  <c r="N22" i="234"/>
  <c r="O22" i="234" s="1"/>
  <c r="P22" i="234" s="1"/>
  <c r="N18" i="231"/>
  <c r="O18" i="231" s="1"/>
  <c r="P18" i="231" s="1"/>
  <c r="N20" i="234"/>
  <c r="O20" i="234" s="1"/>
  <c r="P20" i="234" s="1"/>
  <c r="N19" i="100"/>
  <c r="O19" i="100" s="1"/>
  <c r="P19" i="100" s="1"/>
  <c r="N21" i="157"/>
  <c r="O21" i="157" s="1"/>
  <c r="P21" i="157" s="1"/>
  <c r="L33" i="183"/>
  <c r="L31" i="183" s="1"/>
  <c r="N19" i="55"/>
  <c r="N20" i="157"/>
  <c r="N24" i="234"/>
  <c r="O24" i="234" s="1"/>
  <c r="P24" i="234" s="1"/>
  <c r="N18" i="60"/>
  <c r="N21" i="234"/>
  <c r="O21" i="234" s="1"/>
  <c r="P21" i="234" s="1"/>
  <c r="K18" i="60"/>
  <c r="L18" i="60" s="1"/>
  <c r="L19" i="21"/>
  <c r="O19" i="21"/>
  <c r="P19" i="21" s="1"/>
  <c r="L18" i="21"/>
  <c r="N18" i="157"/>
  <c r="O18" i="157" s="1"/>
  <c r="P18" i="157" s="1"/>
  <c r="EJ170" i="7"/>
  <c r="N19" i="157"/>
  <c r="EK193" i="7"/>
  <c r="K20" i="157"/>
  <c r="L20" i="157" s="1"/>
  <c r="L30" i="150"/>
  <c r="M29" i="150" s="1"/>
  <c r="N29" i="150" s="1"/>
  <c r="L31" i="44"/>
  <c r="L33" i="44" s="1"/>
  <c r="L34" i="44" s="1"/>
  <c r="L32" i="44" s="1"/>
  <c r="L40" i="73"/>
  <c r="L38" i="73" s="1"/>
  <c r="L41" i="53"/>
  <c r="L39" i="53" s="1"/>
  <c r="M38" i="53" s="1"/>
  <c r="N38" i="53" s="1"/>
  <c r="L42" i="49"/>
  <c r="L40" i="49" s="1"/>
  <c r="L40" i="158"/>
  <c r="L41" i="118"/>
  <c r="L42" i="118" s="1"/>
  <c r="N18" i="45"/>
  <c r="O18" i="45" s="1"/>
  <c r="P18" i="45" s="1"/>
  <c r="N20" i="203"/>
  <c r="O20" i="203" s="1"/>
  <c r="P20" i="203" s="1"/>
  <c r="N21" i="203"/>
  <c r="O21" i="203" s="1"/>
  <c r="P21" i="203" s="1"/>
  <c r="L39" i="118"/>
  <c r="N20" i="50"/>
  <c r="O20" i="50" s="1"/>
  <c r="P20" i="50" s="1"/>
  <c r="L40" i="63"/>
  <c r="L38" i="63" s="1"/>
  <c r="N19" i="50"/>
  <c r="O19" i="50" s="1"/>
  <c r="P19" i="50" s="1"/>
  <c r="N18" i="85"/>
  <c r="O18" i="85" s="1"/>
  <c r="P18" i="85" s="1"/>
  <c r="K18" i="87"/>
  <c r="L18" i="87" s="1"/>
  <c r="L33" i="185"/>
  <c r="L31" i="185" s="1"/>
  <c r="M30" i="185" s="1"/>
  <c r="N30" i="185" s="1"/>
  <c r="N18" i="224"/>
  <c r="O18" i="224" s="1"/>
  <c r="P18" i="224" s="1"/>
  <c r="L29" i="203"/>
  <c r="L31" i="203" s="1"/>
  <c r="L32" i="203" s="1"/>
  <c r="L33" i="203" s="1"/>
  <c r="L49" i="228"/>
  <c r="EJ305" i="7"/>
  <c r="EI254" i="7"/>
  <c r="EI266" i="7"/>
  <c r="EI161" i="7"/>
  <c r="EI158" i="7"/>
  <c r="EJ225" i="7"/>
  <c r="EJ307" i="7"/>
  <c r="EJ361" i="7"/>
  <c r="L31" i="64"/>
  <c r="L34" i="226"/>
  <c r="EK26" i="7"/>
  <c r="EI163" i="7"/>
  <c r="EJ303" i="7"/>
  <c r="O21" i="145"/>
  <c r="P21" i="145" s="1"/>
  <c r="EI169" i="7"/>
  <c r="EI87" i="7"/>
  <c r="EK305" i="7"/>
  <c r="EJ181" i="7"/>
  <c r="EJ263" i="7"/>
  <c r="EI281" i="7"/>
  <c r="O19" i="74"/>
  <c r="P19" i="74" s="1"/>
  <c r="EI111" i="7"/>
  <c r="EJ104" i="7"/>
  <c r="EJ158" i="7"/>
  <c r="EI411" i="7"/>
  <c r="O18" i="47"/>
  <c r="P18" i="47" s="1"/>
  <c r="L28" i="128"/>
  <c r="O18" i="126"/>
  <c r="P18" i="126" s="1"/>
  <c r="EK303" i="7"/>
  <c r="O19" i="202"/>
  <c r="P19" i="202" s="1"/>
  <c r="N18" i="21"/>
  <c r="O18" i="21" s="1"/>
  <c r="P18" i="21" s="1"/>
  <c r="EI99" i="7"/>
  <c r="EJ123" i="7"/>
  <c r="EI126" i="7"/>
  <c r="EI165" i="7"/>
  <c r="EI171" i="7"/>
  <c r="EI298" i="7"/>
  <c r="EJ329" i="7"/>
  <c r="EI219" i="7"/>
  <c r="EI235" i="7"/>
  <c r="EJ296" i="7"/>
  <c r="EI407" i="7"/>
  <c r="L32" i="65"/>
  <c r="L34" i="65" s="1"/>
  <c r="EJ223" i="7"/>
  <c r="EI315" i="7"/>
  <c r="EI410" i="7"/>
  <c r="EI250" i="7"/>
  <c r="EI261" i="7"/>
  <c r="EI282" i="7"/>
  <c r="EJ293" i="7"/>
  <c r="EI367" i="7"/>
  <c r="N20" i="55"/>
  <c r="EJ99" i="7"/>
  <c r="EI213" i="7"/>
  <c r="EI285" i="7"/>
  <c r="EI372" i="7"/>
  <c r="L33" i="225"/>
  <c r="L35" i="225" s="1"/>
  <c r="L36" i="225" s="1"/>
  <c r="L34" i="225" s="1"/>
  <c r="N18" i="104"/>
  <c r="EJ135" i="7"/>
  <c r="EJ211" i="7"/>
  <c r="EJ405" i="7"/>
  <c r="L38" i="114"/>
  <c r="L40" i="114" s="1"/>
  <c r="L41" i="114" s="1"/>
  <c r="L42" i="114" s="1"/>
  <c r="EI162" i="7"/>
  <c r="EJ162" i="7"/>
  <c r="EI286" i="7"/>
  <c r="EJ286" i="7"/>
  <c r="EI373" i="7"/>
  <c r="EJ373" i="7"/>
  <c r="EJ101" i="7"/>
  <c r="EI101" i="7"/>
  <c r="EJ173" i="7"/>
  <c r="EI173" i="7"/>
  <c r="EJ292" i="7"/>
  <c r="EI292" i="7"/>
  <c r="EJ176" i="7"/>
  <c r="EI176" i="7"/>
  <c r="EJ177" i="7"/>
  <c r="EJ205" i="7"/>
  <c r="EJ206" i="7"/>
  <c r="EI205" i="7"/>
  <c r="EJ202" i="7"/>
  <c r="EI202" i="7"/>
  <c r="EJ240" i="7"/>
  <c r="EI240" i="7"/>
  <c r="N18" i="97"/>
  <c r="O18" i="97" s="1"/>
  <c r="P18" i="97" s="1"/>
  <c r="EJ313" i="7"/>
  <c r="EI313" i="7"/>
  <c r="EJ382" i="7"/>
  <c r="EI382" i="7"/>
  <c r="EI103" i="7"/>
  <c r="EJ103" i="7"/>
  <c r="EJ200" i="7"/>
  <c r="EI200" i="7"/>
  <c r="EI233" i="7"/>
  <c r="EJ233" i="7"/>
  <c r="N18" i="101"/>
  <c r="O18" i="101" s="1"/>
  <c r="P18" i="101" s="1"/>
  <c r="K19" i="195"/>
  <c r="L19" i="195" s="1"/>
  <c r="L31" i="195" s="1"/>
  <c r="L33" i="195" s="1"/>
  <c r="N18" i="49"/>
  <c r="O18" i="49" s="1"/>
  <c r="P18" i="49" s="1"/>
  <c r="M39" i="49" s="1"/>
  <c r="N39" i="49" s="1"/>
  <c r="EI90" i="7"/>
  <c r="EI95" i="7"/>
  <c r="EJ195" i="7"/>
  <c r="O18" i="117"/>
  <c r="P18" i="117" s="1"/>
  <c r="M30" i="117" s="1"/>
  <c r="N30" i="117" s="1"/>
  <c r="N18" i="100"/>
  <c r="O18" i="100" s="1"/>
  <c r="P18" i="100" s="1"/>
  <c r="N19" i="98"/>
  <c r="O19" i="98" s="1"/>
  <c r="P19" i="98" s="1"/>
  <c r="EI96" i="7"/>
  <c r="EJ100" i="7"/>
  <c r="EI164" i="7"/>
  <c r="EI224" i="7"/>
  <c r="EI245" i="7"/>
  <c r="EI249" i="7"/>
  <c r="EI297" i="7"/>
  <c r="EI311" i="7"/>
  <c r="EI406" i="7"/>
  <c r="N19" i="85"/>
  <c r="O19" i="85" s="1"/>
  <c r="P19" i="85" s="1"/>
  <c r="L25" i="74"/>
  <c r="N19" i="116"/>
  <c r="O19" i="116" s="1"/>
  <c r="P19" i="116" s="1"/>
  <c r="EI179" i="7"/>
  <c r="EI221" i="7"/>
  <c r="EI71" i="7"/>
  <c r="EJ96" i="7"/>
  <c r="EJ179" i="7"/>
  <c r="EI197" i="7"/>
  <c r="EI230" i="7"/>
  <c r="EI262" i="7"/>
  <c r="EI290" i="7"/>
  <c r="EI309" i="7"/>
  <c r="EI362" i="7"/>
  <c r="EI392" i="7"/>
  <c r="EI409" i="7"/>
  <c r="O18" i="216"/>
  <c r="P18" i="216" s="1"/>
  <c r="M31" i="216" s="1"/>
  <c r="O18" i="225"/>
  <c r="P18" i="225" s="1"/>
  <c r="O18" i="81"/>
  <c r="P18" i="81" s="1"/>
  <c r="M29" i="81" s="1"/>
  <c r="EP120" i="7"/>
  <c r="N23" i="203"/>
  <c r="O23" i="203" s="1"/>
  <c r="P23" i="203" s="1"/>
  <c r="L39" i="69"/>
  <c r="O19" i="144"/>
  <c r="P19" i="144" s="1"/>
  <c r="L35" i="224"/>
  <c r="L35" i="68"/>
  <c r="L40" i="160"/>
  <c r="L38" i="160" s="1"/>
  <c r="EI117" i="7"/>
  <c r="EI155" i="7"/>
  <c r="EJ193" i="7"/>
  <c r="O20" i="202"/>
  <c r="P20" i="202" s="1"/>
  <c r="L30" i="131"/>
  <c r="O19" i="219"/>
  <c r="P19" i="219" s="1"/>
  <c r="EJ131" i="7"/>
  <c r="EI97" i="7"/>
  <c r="L34" i="219"/>
  <c r="O20" i="91"/>
  <c r="P20" i="91" s="1"/>
  <c r="L30" i="100"/>
  <c r="O19" i="106"/>
  <c r="P19" i="106" s="1"/>
  <c r="L30" i="106"/>
  <c r="L37" i="93"/>
  <c r="EI182" i="7"/>
  <c r="EI194" i="7"/>
  <c r="L33" i="55"/>
  <c r="L35" i="55" s="1"/>
  <c r="O19" i="203"/>
  <c r="P19" i="203" s="1"/>
  <c r="O18" i="183"/>
  <c r="P18" i="183" s="1"/>
  <c r="M30" i="183" s="1"/>
  <c r="L36" i="71"/>
  <c r="O19" i="145"/>
  <c r="P19" i="145" s="1"/>
  <c r="L30" i="138"/>
  <c r="L32" i="138" s="1"/>
  <c r="L33" i="138" s="1"/>
  <c r="L31" i="138" s="1"/>
  <c r="L30" i="202"/>
  <c r="O18" i="95"/>
  <c r="P18" i="95" s="1"/>
  <c r="L36" i="111"/>
  <c r="L38" i="111" s="1"/>
  <c r="L34" i="216"/>
  <c r="L32" i="216" s="1"/>
  <c r="L31" i="52"/>
  <c r="L29" i="52" s="1"/>
  <c r="L40" i="109"/>
  <c r="L38" i="109" s="1"/>
  <c r="EJ199" i="7"/>
  <c r="EI199" i="7"/>
  <c r="L34" i="214"/>
  <c r="L32" i="214" s="1"/>
  <c r="EJ191" i="7"/>
  <c r="EI191" i="7"/>
  <c r="L32" i="101"/>
  <c r="L34" i="101" s="1"/>
  <c r="L33" i="62"/>
  <c r="L35" i="62" s="1"/>
  <c r="L34" i="85"/>
  <c r="L36" i="85" s="1"/>
  <c r="L33" i="132"/>
  <c r="L35" i="132" s="1"/>
  <c r="O36" i="132" s="1"/>
  <c r="L33" i="45"/>
  <c r="L35" i="45" s="1"/>
  <c r="L37" i="77"/>
  <c r="L39" i="77" s="1"/>
  <c r="EJ187" i="7"/>
  <c r="EJ209" i="7"/>
  <c r="L30" i="56"/>
  <c r="L28" i="56" s="1"/>
  <c r="L34" i="142"/>
  <c r="L32" i="142" s="1"/>
  <c r="L40" i="155"/>
  <c r="L38" i="155" s="1"/>
  <c r="L33" i="117"/>
  <c r="L31" i="117" s="1"/>
  <c r="L38" i="126"/>
  <c r="L36" i="133"/>
  <c r="L35" i="136"/>
  <c r="L33" i="136" s="1"/>
  <c r="EI190" i="7"/>
  <c r="EI154" i="7"/>
  <c r="EI88" i="7"/>
  <c r="EJ116" i="7"/>
  <c r="EJ120" i="7"/>
  <c r="EJ130" i="7"/>
  <c r="EJ156" i="7"/>
  <c r="EJ161" i="7"/>
  <c r="N21" i="181"/>
  <c r="O21" i="181" s="1"/>
  <c r="P21" i="181" s="1"/>
  <c r="N18" i="50"/>
  <c r="O18" i="50" s="1"/>
  <c r="P18" i="50" s="1"/>
  <c r="EI189" i="7"/>
  <c r="EI198" i="7"/>
  <c r="O18" i="202"/>
  <c r="P18" i="202" s="1"/>
  <c r="L33" i="86"/>
  <c r="L35" i="86" s="1"/>
  <c r="EJ203" i="7"/>
  <c r="EJ198" i="7"/>
  <c r="L40" i="78"/>
  <c r="L42" i="78" s="1"/>
  <c r="L28" i="98"/>
  <c r="L30" i="98" s="1"/>
  <c r="L40" i="135"/>
  <c r="L39" i="135"/>
  <c r="L37" i="135" s="1"/>
  <c r="L36" i="129"/>
  <c r="L34" i="129" s="1"/>
  <c r="L32" i="99"/>
  <c r="L30" i="99" s="1"/>
  <c r="EJ190" i="7"/>
  <c r="EI91" i="7"/>
  <c r="EI115" i="7"/>
  <c r="N21" i="116"/>
  <c r="O21" i="116" s="1"/>
  <c r="P21" i="116" s="1"/>
  <c r="N19" i="91"/>
  <c r="O19" i="91" s="1"/>
  <c r="P19" i="91" s="1"/>
  <c r="N19" i="181"/>
  <c r="O19" i="181" s="1"/>
  <c r="P19" i="181" s="1"/>
  <c r="EI188" i="7"/>
  <c r="O18" i="64"/>
  <c r="P18" i="64" s="1"/>
  <c r="O21" i="202"/>
  <c r="P21" i="202" s="1"/>
  <c r="L38" i="83"/>
  <c r="L40" i="83" s="1"/>
  <c r="L31" i="97"/>
  <c r="L33" i="97" s="1"/>
  <c r="L43" i="89"/>
  <c r="L42" i="89"/>
  <c r="L40" i="89" s="1"/>
  <c r="EJ70" i="7"/>
  <c r="N23" i="181"/>
  <c r="O23" i="181" s="1"/>
  <c r="P23" i="181" s="1"/>
  <c r="L29" i="115"/>
  <c r="L27" i="115" s="1"/>
  <c r="N18" i="159"/>
  <c r="O18" i="159" s="1"/>
  <c r="P18" i="159" s="1"/>
  <c r="O19" i="132"/>
  <c r="P19" i="132" s="1"/>
  <c r="O18" i="214"/>
  <c r="P18" i="214" s="1"/>
  <c r="L34" i="145"/>
  <c r="L36" i="145" s="1"/>
  <c r="L34" i="159"/>
  <c r="L32" i="159" s="1"/>
  <c r="L40" i="134"/>
  <c r="L38" i="134" s="1"/>
  <c r="L37" i="139"/>
  <c r="L35" i="139" s="1"/>
  <c r="L41" i="140"/>
  <c r="L39" i="140" s="1"/>
  <c r="L38" i="154"/>
  <c r="N20" i="116"/>
  <c r="O20" i="116" s="1"/>
  <c r="P20" i="116" s="1"/>
  <c r="N22" i="110"/>
  <c r="O22" i="110" s="1"/>
  <c r="P22" i="110" s="1"/>
  <c r="N18" i="65"/>
  <c r="O18" i="65" s="1"/>
  <c r="P18" i="65" s="1"/>
  <c r="O18" i="111"/>
  <c r="P18" i="111" s="1"/>
  <c r="M36" i="111" s="1"/>
  <c r="O18" i="132"/>
  <c r="P18" i="132" s="1"/>
  <c r="O18" i="52"/>
  <c r="P18" i="52" s="1"/>
  <c r="N22" i="181"/>
  <c r="O22" i="181" s="1"/>
  <c r="P22" i="181" s="1"/>
  <c r="L35" i="92"/>
  <c r="L33" i="92" s="1"/>
  <c r="N19" i="78"/>
  <c r="Q19" i="78" s="1"/>
  <c r="L39" i="177"/>
  <c r="L37" i="177" s="1"/>
  <c r="O18" i="219"/>
  <c r="P18" i="219" s="1"/>
  <c r="O18" i="71"/>
  <c r="P18" i="71" s="1"/>
  <c r="O18" i="128"/>
  <c r="P18" i="128" s="1"/>
  <c r="O18" i="99"/>
  <c r="P18" i="99" s="1"/>
  <c r="M29" i="99" s="1"/>
  <c r="O18" i="86"/>
  <c r="P18" i="86" s="1"/>
  <c r="O18" i="116"/>
  <c r="P18" i="116" s="1"/>
  <c r="O18" i="98"/>
  <c r="P18" i="98" s="1"/>
  <c r="O18" i="83"/>
  <c r="P18" i="83" s="1"/>
  <c r="O18" i="94"/>
  <c r="P18" i="94" s="1"/>
  <c r="O19" i="97"/>
  <c r="P19" i="97" s="1"/>
  <c r="O18" i="106"/>
  <c r="P18" i="106" s="1"/>
  <c r="O19" i="225"/>
  <c r="P19" i="225" s="1"/>
  <c r="O20" i="98"/>
  <c r="P20" i="98" s="1"/>
  <c r="L19" i="116"/>
  <c r="L31" i="116" s="1"/>
  <c r="L33" i="116" s="1"/>
  <c r="L18" i="95"/>
  <c r="L31" i="95" s="1"/>
  <c r="L33" i="95" s="1"/>
  <c r="O19" i="95"/>
  <c r="P19" i="95" s="1"/>
  <c r="O18" i="74"/>
  <c r="P18" i="74" s="1"/>
  <c r="L36" i="79"/>
  <c r="L34" i="47"/>
  <c r="O18" i="130"/>
  <c r="P18" i="130" s="1"/>
  <c r="L18" i="130"/>
  <c r="L35" i="130" s="1"/>
  <c r="O18" i="110"/>
  <c r="P18" i="110" s="1"/>
  <c r="L35" i="110"/>
  <c r="O18" i="91"/>
  <c r="P18" i="91" s="1"/>
  <c r="O19" i="152"/>
  <c r="P19" i="152" s="1"/>
  <c r="L29" i="163"/>
  <c r="L31" i="163" s="1"/>
  <c r="L36" i="189"/>
  <c r="L38" i="189" s="1"/>
  <c r="L39" i="189" s="1"/>
  <c r="L37" i="189" s="1"/>
  <c r="O20" i="119"/>
  <c r="P20" i="119" s="1"/>
  <c r="O18" i="163"/>
  <c r="P18" i="163" s="1"/>
  <c r="M29" i="163" s="1"/>
  <c r="L30" i="144"/>
  <c r="O18" i="146"/>
  <c r="P18" i="146" s="1"/>
  <c r="M31" i="146" s="1"/>
  <c r="L36" i="152"/>
  <c r="L38" i="152" s="1"/>
  <c r="O18" i="190"/>
  <c r="P18" i="190" s="1"/>
  <c r="O18" i="176"/>
  <c r="P18" i="176" s="1"/>
  <c r="M28" i="70"/>
  <c r="L38" i="119"/>
  <c r="O18" i="179"/>
  <c r="P18" i="179" s="1"/>
  <c r="L33" i="188"/>
  <c r="L35" i="188" s="1"/>
  <c r="L36" i="188" s="1"/>
  <c r="L34" i="188" s="1"/>
  <c r="L33" i="82"/>
  <c r="L34" i="82" s="1"/>
  <c r="L28" i="179"/>
  <c r="L30" i="179" s="1"/>
  <c r="L34" i="46"/>
  <c r="L40" i="143"/>
  <c r="L39" i="181"/>
  <c r="L41" i="181" s="1"/>
  <c r="L32" i="146"/>
  <c r="L40" i="171"/>
  <c r="L38" i="171" s="1"/>
  <c r="L34" i="191"/>
  <c r="L36" i="191" s="1"/>
  <c r="L34" i="147"/>
  <c r="L37" i="124"/>
  <c r="L36" i="176"/>
  <c r="L38" i="176" s="1"/>
  <c r="L29" i="70"/>
  <c r="L40" i="164"/>
  <c r="L38" i="164" s="1"/>
  <c r="L34" i="66"/>
  <c r="L37" i="137"/>
  <c r="L35" i="137" s="1"/>
  <c r="L36" i="141"/>
  <c r="L34" i="141" s="1"/>
  <c r="L39" i="190"/>
  <c r="L37" i="190" s="1"/>
  <c r="L37" i="50"/>
  <c r="L39" i="50" s="1"/>
  <c r="O19" i="176"/>
  <c r="P19" i="176" s="1"/>
  <c r="O18" i="144"/>
  <c r="P18" i="144" s="1"/>
  <c r="O19" i="119"/>
  <c r="P19" i="119" s="1"/>
  <c r="O18" i="119"/>
  <c r="P18" i="119" s="1"/>
  <c r="O21" i="119"/>
  <c r="P21" i="119" s="1"/>
  <c r="L18" i="91"/>
  <c r="L33" i="91" s="1"/>
  <c r="L35" i="91" s="1"/>
  <c r="L30" i="94"/>
  <c r="L32" i="94" s="1"/>
  <c r="N31" i="216" l="1"/>
  <c r="O18" i="104"/>
  <c r="P18" i="104" s="1"/>
  <c r="N29" i="99"/>
  <c r="L19" i="104"/>
  <c r="L30" i="104" s="1"/>
  <c r="O19" i="104"/>
  <c r="P19" i="104" s="1"/>
  <c r="N29" i="81"/>
  <c r="N28" i="70"/>
  <c r="O26" i="87"/>
  <c r="P26" i="87" s="1"/>
  <c r="L19" i="87"/>
  <c r="L43" i="87" s="1"/>
  <c r="L45" i="87" s="1"/>
  <c r="L46" i="87" s="1"/>
  <c r="L44" i="87" s="1"/>
  <c r="O19" i="87"/>
  <c r="P19" i="87" s="1"/>
  <c r="M34" i="46"/>
  <c r="L32" i="66"/>
  <c r="L35" i="66"/>
  <c r="L51" i="228"/>
  <c r="L52" i="228" s="1"/>
  <c r="L50" i="228" s="1"/>
  <c r="L34" i="88"/>
  <c r="L36" i="88" s="1"/>
  <c r="L37" i="88" s="1"/>
  <c r="L38" i="88" s="1"/>
  <c r="L36" i="46"/>
  <c r="L37" i="46" s="1"/>
  <c r="L35" i="46" s="1"/>
  <c r="M34" i="88"/>
  <c r="L32" i="144"/>
  <c r="L33" i="144" s="1"/>
  <c r="L30" i="128"/>
  <c r="L31" i="128" s="1"/>
  <c r="L37" i="110"/>
  <c r="L38" i="110" s="1"/>
  <c r="L32" i="131"/>
  <c r="L33" i="131" s="1"/>
  <c r="L41" i="69"/>
  <c r="L40" i="69" s="1"/>
  <c r="L32" i="100"/>
  <c r="L33" i="100" s="1"/>
  <c r="L27" i="74"/>
  <c r="L28" i="74" s="1"/>
  <c r="L37" i="68"/>
  <c r="L38" i="68" s="1"/>
  <c r="L32" i="202"/>
  <c r="L33" i="202" s="1"/>
  <c r="L38" i="71"/>
  <c r="L39" i="71" s="1"/>
  <c r="L32" i="106"/>
  <c r="L33" i="106" s="1"/>
  <c r="L38" i="79"/>
  <c r="L39" i="79" s="1"/>
  <c r="L40" i="119"/>
  <c r="L41" i="119" s="1"/>
  <c r="L48" i="120"/>
  <c r="L49" i="120" s="1"/>
  <c r="L36" i="47"/>
  <c r="O37" i="47" s="1"/>
  <c r="L33" i="64"/>
  <c r="L34" i="64" s="1"/>
  <c r="L39" i="93"/>
  <c r="L40" i="93" s="1"/>
  <c r="L37" i="224"/>
  <c r="L38" i="224" s="1"/>
  <c r="L36" i="226"/>
  <c r="L37" i="226" s="1"/>
  <c r="L37" i="130"/>
  <c r="L38" i="130" s="1"/>
  <c r="L36" i="219"/>
  <c r="L37" i="219" s="1"/>
  <c r="L37" i="85"/>
  <c r="L35" i="85" s="1"/>
  <c r="M34" i="85"/>
  <c r="N34" i="85" s="1"/>
  <c r="L36" i="55"/>
  <c r="O20" i="55"/>
  <c r="P20" i="55" s="1"/>
  <c r="O19" i="55"/>
  <c r="P19" i="55" s="1"/>
  <c r="O19" i="78"/>
  <c r="P19" i="78" s="1"/>
  <c r="L36" i="61"/>
  <c r="EJ180" i="7"/>
  <c r="L33" i="157"/>
  <c r="O19" i="157"/>
  <c r="P19" i="157" s="1"/>
  <c r="L33" i="121"/>
  <c r="L35" i="65"/>
  <c r="L33" i="65" s="1"/>
  <c r="M32" i="65"/>
  <c r="N32" i="65" s="1"/>
  <c r="L34" i="195"/>
  <c r="L32" i="195" s="1"/>
  <c r="N18" i="79"/>
  <c r="O18" i="79" s="1"/>
  <c r="P18" i="79" s="1"/>
  <c r="M30" i="144"/>
  <c r="M31" i="159"/>
  <c r="N31" i="159" s="1"/>
  <c r="M33" i="45"/>
  <c r="N33" i="45" s="1"/>
  <c r="M34" i="90"/>
  <c r="M34" i="113"/>
  <c r="M33" i="132"/>
  <c r="M34" i="235"/>
  <c r="M38" i="83"/>
  <c r="N21" i="50"/>
  <c r="O21" i="50" s="1"/>
  <c r="P21" i="50" s="1"/>
  <c r="N18" i="226"/>
  <c r="O18" i="226" s="1"/>
  <c r="P18" i="226" s="1"/>
  <c r="M34" i="226" s="1"/>
  <c r="N34" i="226" s="1"/>
  <c r="O19" i="234"/>
  <c r="P19" i="234" s="1"/>
  <c r="M35" i="234" s="1"/>
  <c r="N35" i="234" s="1"/>
  <c r="N18" i="181"/>
  <c r="O18" i="181" s="1"/>
  <c r="P18" i="181" s="1"/>
  <c r="M39" i="181" s="1"/>
  <c r="N39" i="181" s="1"/>
  <c r="L31" i="21"/>
  <c r="L33" i="21" s="1"/>
  <c r="L34" i="21" s="1"/>
  <c r="L32" i="21" s="1"/>
  <c r="L32" i="150"/>
  <c r="L33" i="150" s="1"/>
  <c r="M32" i="231"/>
  <c r="N32" i="231" s="1"/>
  <c r="L34" i="183"/>
  <c r="EI100" i="7"/>
  <c r="N30" i="183"/>
  <c r="L38" i="234"/>
  <c r="L36" i="234" s="1"/>
  <c r="EI177" i="7"/>
  <c r="EI178" i="7"/>
  <c r="O18" i="60"/>
  <c r="P18" i="60" s="1"/>
  <c r="L37" i="60"/>
  <c r="L39" i="60" s="1"/>
  <c r="M31" i="21"/>
  <c r="O20" i="157"/>
  <c r="P20" i="157" s="1"/>
  <c r="EI207" i="7"/>
  <c r="L41" i="63"/>
  <c r="L43" i="49"/>
  <c r="L34" i="185"/>
  <c r="M33" i="86"/>
  <c r="M35" i="230"/>
  <c r="N35" i="230" s="1"/>
  <c r="N18" i="92"/>
  <c r="L42" i="53"/>
  <c r="L41" i="158"/>
  <c r="L42" i="158" s="1"/>
  <c r="N18" i="145"/>
  <c r="O18" i="145" s="1"/>
  <c r="P18" i="145" s="1"/>
  <c r="M34" i="145" s="1"/>
  <c r="N34" i="145" s="1"/>
  <c r="L39" i="158"/>
  <c r="L35" i="44"/>
  <c r="L41" i="73"/>
  <c r="O19" i="195"/>
  <c r="P19" i="195" s="1"/>
  <c r="L37" i="225"/>
  <c r="L40" i="225" s="1"/>
  <c r="N18" i="152"/>
  <c r="O18" i="152" s="1"/>
  <c r="P18" i="152" s="1"/>
  <c r="N18" i="87"/>
  <c r="O18" i="87" s="1"/>
  <c r="P18" i="87" s="1"/>
  <c r="N18" i="195"/>
  <c r="O18" i="195" s="1"/>
  <c r="P18" i="195" s="1"/>
  <c r="M35" i="130"/>
  <c r="N35" i="130" s="1"/>
  <c r="M35" i="224"/>
  <c r="N35" i="224" s="1"/>
  <c r="EI181" i="7"/>
  <c r="N18" i="228"/>
  <c r="N18" i="68"/>
  <c r="O18" i="68" s="1"/>
  <c r="P18" i="68" s="1"/>
  <c r="M25" i="74"/>
  <c r="N25" i="74" s="1"/>
  <c r="M28" i="128"/>
  <c r="N28" i="128" s="1"/>
  <c r="M33" i="225"/>
  <c r="L39" i="114"/>
  <c r="M29" i="203"/>
  <c r="N29" i="203" s="1"/>
  <c r="M28" i="52"/>
  <c r="N28" i="52" s="1"/>
  <c r="EI195" i="7"/>
  <c r="EI283" i="7"/>
  <c r="EJ283" i="7"/>
  <c r="M31" i="214"/>
  <c r="N31" i="214" s="1"/>
  <c r="M27" i="56"/>
  <c r="N27" i="56" s="1"/>
  <c r="EI180" i="7"/>
  <c r="EI206" i="7"/>
  <c r="M34" i="219"/>
  <c r="L41" i="134"/>
  <c r="L30" i="115"/>
  <c r="M32" i="101"/>
  <c r="L34" i="117"/>
  <c r="M31" i="95"/>
  <c r="N31" i="95" s="1"/>
  <c r="EI287" i="7"/>
  <c r="EJ287" i="7"/>
  <c r="M33" i="62"/>
  <c r="N33" i="62" s="1"/>
  <c r="EJ174" i="7"/>
  <c r="EI174" i="7"/>
  <c r="M31" i="97"/>
  <c r="L42" i="140"/>
  <c r="L32" i="52"/>
  <c r="L34" i="138"/>
  <c r="M28" i="98"/>
  <c r="N28" i="98" s="1"/>
  <c r="L33" i="81"/>
  <c r="L41" i="160"/>
  <c r="L41" i="155"/>
  <c r="L36" i="92"/>
  <c r="L31" i="56"/>
  <c r="L41" i="109"/>
  <c r="M36" i="71"/>
  <c r="M31" i="116"/>
  <c r="N31" i="116" s="1"/>
  <c r="L40" i="177"/>
  <c r="L35" i="159"/>
  <c r="L36" i="132"/>
  <c r="L34" i="132" s="1"/>
  <c r="L38" i="139"/>
  <c r="L36" i="136"/>
  <c r="L35" i="142"/>
  <c r="L41" i="83"/>
  <c r="L39" i="83" s="1"/>
  <c r="L36" i="86"/>
  <c r="L34" i="86" s="1"/>
  <c r="L36" i="62"/>
  <c r="L34" i="62" s="1"/>
  <c r="L31" i="98"/>
  <c r="L29" i="98" s="1"/>
  <c r="L35" i="101"/>
  <c r="L33" i="101" s="1"/>
  <c r="L35" i="214"/>
  <c r="L34" i="95"/>
  <c r="L32" i="95" s="1"/>
  <c r="L37" i="145"/>
  <c r="L35" i="145" s="1"/>
  <c r="L33" i="99"/>
  <c r="L43" i="78"/>
  <c r="L41" i="78" s="1"/>
  <c r="EJ210" i="7"/>
  <c r="EI210" i="7"/>
  <c r="L35" i="216"/>
  <c r="L39" i="126"/>
  <c r="M36" i="126" s="1"/>
  <c r="L39" i="111"/>
  <c r="L37" i="111" s="1"/>
  <c r="N36" i="111" s="1"/>
  <c r="L34" i="97"/>
  <c r="L32" i="97" s="1"/>
  <c r="L37" i="129"/>
  <c r="L40" i="77"/>
  <c r="L38" i="77" s="1"/>
  <c r="L36" i="45"/>
  <c r="L34" i="45" s="1"/>
  <c r="M34" i="47"/>
  <c r="N34" i="47" s="1"/>
  <c r="M36" i="190"/>
  <c r="N36" i="190" s="1"/>
  <c r="L37" i="141"/>
  <c r="M38" i="119"/>
  <c r="M28" i="179"/>
  <c r="N28" i="179" s="1"/>
  <c r="L34" i="113"/>
  <c r="L37" i="152"/>
  <c r="L39" i="152"/>
  <c r="L41" i="164"/>
  <c r="L38" i="124"/>
  <c r="L39" i="124" s="1"/>
  <c r="L41" i="143"/>
  <c r="L42" i="143" s="1"/>
  <c r="L41" i="171"/>
  <c r="L38" i="137"/>
  <c r="M36" i="176"/>
  <c r="N36" i="176" s="1"/>
  <c r="M30" i="94"/>
  <c r="L32" i="163"/>
  <c r="L30" i="163" s="1"/>
  <c r="L38" i="46"/>
  <c r="L40" i="189"/>
  <c r="L40" i="190"/>
  <c r="L31" i="70"/>
  <c r="L32" i="70" s="1"/>
  <c r="L34" i="146"/>
  <c r="L35" i="146" s="1"/>
  <c r="L39" i="176"/>
  <c r="L37" i="176" s="1"/>
  <c r="L36" i="147"/>
  <c r="L37" i="147" s="1"/>
  <c r="L42" i="181"/>
  <c r="L40" i="181" s="1"/>
  <c r="L31" i="179"/>
  <c r="L29" i="179" s="1"/>
  <c r="L35" i="82"/>
  <c r="L36" i="82" s="1"/>
  <c r="L37" i="188"/>
  <c r="M33" i="91"/>
  <c r="N33" i="91" s="1"/>
  <c r="L40" i="50"/>
  <c r="L38" i="50" s="1"/>
  <c r="L36" i="91"/>
  <c r="L34" i="91" s="1"/>
  <c r="L36" i="124"/>
  <c r="L37" i="191"/>
  <c r="L35" i="191" s="1"/>
  <c r="L39" i="143"/>
  <c r="L33" i="94"/>
  <c r="L31" i="94" s="1"/>
  <c r="L34" i="90"/>
  <c r="L36" i="90" s="1"/>
  <c r="N30" i="94" l="1"/>
  <c r="N34" i="46"/>
  <c r="N29" i="163"/>
  <c r="N33" i="132"/>
  <c r="N32" i="101"/>
  <c r="L44" i="76"/>
  <c r="L46" i="76" s="1"/>
  <c r="L47" i="76" s="1"/>
  <c r="L31" i="144"/>
  <c r="N30" i="144" s="1"/>
  <c r="L34" i="144"/>
  <c r="L29" i="128"/>
  <c r="L32" i="128"/>
  <c r="L36" i="110"/>
  <c r="L39" i="110"/>
  <c r="L31" i="131"/>
  <c r="L34" i="131"/>
  <c r="L42" i="69"/>
  <c r="L43" i="69" s="1"/>
  <c r="L31" i="100"/>
  <c r="M30" i="100"/>
  <c r="N30" i="100" s="1"/>
  <c r="L34" i="100"/>
  <c r="L35" i="121"/>
  <c r="L36" i="121" s="1"/>
  <c r="L26" i="74"/>
  <c r="L29" i="74"/>
  <c r="L36" i="68"/>
  <c r="M35" i="68" s="1"/>
  <c r="N35" i="68" s="1"/>
  <c r="L39" i="68"/>
  <c r="L31" i="202"/>
  <c r="M30" i="202" s="1"/>
  <c r="N30" i="202" s="1"/>
  <c r="L34" i="202"/>
  <c r="L37" i="71"/>
  <c r="N36" i="71" s="1"/>
  <c r="L40" i="71"/>
  <c r="L31" i="106"/>
  <c r="M30" i="106"/>
  <c r="N30" i="106" s="1"/>
  <c r="L34" i="106"/>
  <c r="L37" i="79"/>
  <c r="L40" i="79"/>
  <c r="L35" i="157"/>
  <c r="L36" i="157" s="1"/>
  <c r="L32" i="104"/>
  <c r="L33" i="104" s="1"/>
  <c r="L39" i="119"/>
  <c r="L42" i="119"/>
  <c r="L36" i="113"/>
  <c r="L35" i="113" s="1"/>
  <c r="N34" i="113" s="1"/>
  <c r="L47" i="120"/>
  <c r="N46" i="120" s="1"/>
  <c r="L50" i="120"/>
  <c r="L38" i="61"/>
  <c r="L39" i="61" s="1"/>
  <c r="L37" i="47"/>
  <c r="L38" i="93"/>
  <c r="L41" i="93"/>
  <c r="L32" i="64"/>
  <c r="M31" i="64" s="1"/>
  <c r="N31" i="64" s="1"/>
  <c r="L35" i="64"/>
  <c r="L35" i="226"/>
  <c r="L38" i="226"/>
  <c r="L36" i="224"/>
  <c r="L39" i="224"/>
  <c r="L36" i="130"/>
  <c r="L39" i="130"/>
  <c r="L35" i="219"/>
  <c r="N34" i="219" s="1"/>
  <c r="L38" i="219"/>
  <c r="M30" i="104"/>
  <c r="N30" i="104" s="1"/>
  <c r="M33" i="55"/>
  <c r="N33" i="55" s="1"/>
  <c r="L34" i="55"/>
  <c r="L37" i="55"/>
  <c r="M40" i="78"/>
  <c r="N40" i="78" s="1"/>
  <c r="O18" i="228"/>
  <c r="P18" i="228" s="1"/>
  <c r="O18" i="92"/>
  <c r="P18" i="92" s="1"/>
  <c r="M32" i="92" s="1"/>
  <c r="Q18" i="92"/>
  <c r="M35" i="110"/>
  <c r="L35" i="195"/>
  <c r="M33" i="121"/>
  <c r="N33" i="121" s="1"/>
  <c r="M37" i="50"/>
  <c r="N37" i="50" s="1"/>
  <c r="L36" i="65"/>
  <c r="M31" i="195"/>
  <c r="N31" i="195" s="1"/>
  <c r="M36" i="79"/>
  <c r="N36" i="79" s="1"/>
  <c r="M37" i="93"/>
  <c r="N37" i="93" s="1"/>
  <c r="M37" i="60"/>
  <c r="L35" i="21"/>
  <c r="M33" i="157"/>
  <c r="N33" i="157" s="1"/>
  <c r="EJ178" i="7"/>
  <c r="EJ207" i="7"/>
  <c r="M37" i="77"/>
  <c r="N37" i="77" s="1"/>
  <c r="M39" i="69"/>
  <c r="N39" i="69" s="1"/>
  <c r="L39" i="234"/>
  <c r="L40" i="60"/>
  <c r="L38" i="60" s="1"/>
  <c r="M43" i="87"/>
  <c r="N43" i="87" s="1"/>
  <c r="M36" i="152"/>
  <c r="L47" i="87"/>
  <c r="EI2" i="7"/>
  <c r="L38" i="85"/>
  <c r="L37" i="132"/>
  <c r="L41" i="77"/>
  <c r="L40" i="111"/>
  <c r="L42" i="83"/>
  <c r="L35" i="97"/>
  <c r="L38" i="145"/>
  <c r="L36" i="101"/>
  <c r="L37" i="62"/>
  <c r="L37" i="45"/>
  <c r="L34" i="116"/>
  <c r="L32" i="116" s="1"/>
  <c r="L37" i="126"/>
  <c r="L37" i="86"/>
  <c r="L40" i="126"/>
  <c r="L44" i="78"/>
  <c r="L35" i="95"/>
  <c r="L32" i="98"/>
  <c r="L43" i="181"/>
  <c r="L41" i="50"/>
  <c r="L40" i="152"/>
  <c r="L40" i="176"/>
  <c r="L37" i="91"/>
  <c r="L38" i="191"/>
  <c r="L32" i="179"/>
  <c r="L33" i="163"/>
  <c r="L34" i="94"/>
  <c r="L53" i="228"/>
  <c r="N34" i="90"/>
  <c r="L37" i="90"/>
  <c r="L35" i="90" s="1"/>
  <c r="N35" i="110" l="1"/>
  <c r="N37" i="60"/>
  <c r="M44" i="76"/>
  <c r="N44" i="76" s="1"/>
  <c r="L34" i="121"/>
  <c r="L37" i="121"/>
  <c r="L34" i="157"/>
  <c r="L37" i="157"/>
  <c r="L31" i="104"/>
  <c r="L34" i="104"/>
  <c r="L37" i="113"/>
  <c r="L38" i="113" s="1"/>
  <c r="L37" i="61"/>
  <c r="L40" i="61"/>
  <c r="L35" i="47"/>
  <c r="L38" i="47"/>
  <c r="L45" i="76"/>
  <c r="L48" i="76"/>
  <c r="M49" i="228"/>
  <c r="N49" i="228" s="1"/>
  <c r="L41" i="60"/>
  <c r="L35" i="116"/>
  <c r="L38" i="90"/>
  <c r="N18" i="66" l="1"/>
  <c r="O18" i="66" s="1"/>
  <c r="P18" i="66" s="1"/>
  <c r="M31" i="66" s="1"/>
  <c r="N31" i="66" s="1"/>
  <c r="M36" i="61" l="1"/>
  <c r="N36" i="6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M3" authorId="0" shapeId="0" xr:uid="{864B8F7A-68A5-4792-86D0-F6DC0D77AE76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O3" authorId="0" shapeId="0" xr:uid="{B538B3B9-A9BD-40B7-8029-A8BF04C1709F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Q3" authorId="0" shapeId="0" xr:uid="{E88AA8FF-756A-49A1-9730-246A578C694D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S3" authorId="0" shapeId="0" xr:uid="{8BB00BEB-397C-44E4-A89F-2287D2977A3A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X3" authorId="0" shapeId="0" xr:uid="{556F1703-F81A-4FF9-871C-BD1121164FD9}">
      <text>
        <r>
          <rPr>
            <sz val="9"/>
            <color indexed="81"/>
            <rFont val="Tahoma"/>
            <family val="2"/>
          </rPr>
          <t>$29</t>
        </r>
      </text>
    </comment>
    <comment ref="AB3" authorId="0" shapeId="0" xr:uid="{4B982403-F8E4-4BE4-B027-7AE856C74811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F3" authorId="0" shapeId="0" xr:uid="{E5A6E492-2D4A-40FD-BC73-E9F8C3C5E913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L3" authorId="0" shapeId="0" xr:uid="{CB6E08E4-572B-4F05-92EE-6ED4504C9C78}">
      <text>
        <r>
          <rPr>
            <b/>
            <sz val="9"/>
            <color indexed="81"/>
            <rFont val="Tahoma"/>
            <family val="2"/>
          </rPr>
          <t>$28</t>
        </r>
      </text>
    </comment>
    <comment ref="AY3" authorId="0" shapeId="0" xr:uid="{BFF6A74C-5FD3-43F2-AC35-3BF1A6E542E1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B3" authorId="0" shapeId="0" xr:uid="{F9E2115A-D621-47CC-A946-334F8E2178A6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F3" authorId="0" shapeId="0" xr:uid="{B19FAEAA-EDEA-42D8-BA9E-1943B97841C8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H3" authorId="0" shapeId="0" xr:uid="{EE5F6FD1-30B7-4CD5-9DBE-E39CFD135711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M3" authorId="0" shapeId="0" xr:uid="{6CEA0D22-1449-4764-9443-10774F59181F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BV3" authorId="0" shapeId="0" xr:uid="{2873C79E-532D-406B-BD0A-7782420A1948}">
      <text>
        <r>
          <rPr>
            <b/>
            <sz val="9"/>
            <color indexed="81"/>
            <rFont val="Tahoma"/>
            <family val="2"/>
          </rPr>
          <t>$29: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P3" authorId="0" shapeId="0" xr:uid="{409403BF-E5AE-45E1-ADD7-1CCD0712AF90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Q3" authorId="0" shapeId="0" xr:uid="{DBF152DA-41C1-4741-A0D4-8DAF6050EE9E}">
      <text>
        <r>
          <rPr>
            <b/>
            <sz val="9"/>
            <color indexed="81"/>
            <rFont val="Tahoma"/>
            <family val="2"/>
          </rPr>
          <t>28</t>
        </r>
      </text>
    </comment>
    <comment ref="CS3" authorId="0" shapeId="0" xr:uid="{5EB05D1C-3F92-4ABA-A398-BC69585AD7F6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U3" authorId="0" shapeId="0" xr:uid="{34612079-D5ED-4911-95C8-D641FE1D052F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I3" authorId="0" shapeId="0" xr:uid="{82536E9F-42BE-4317-A70F-7E87A398AB26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DJ3" authorId="0" shapeId="0" xr:uid="{02307F8C-DC2B-449C-B9C0-3C9B26E40FC8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DT3" authorId="0" shapeId="0" xr:uid="{E273836C-BDF7-4F19-A475-0F306C6ABBA3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CL4" authorId="0" shapeId="0" xr:uid="{833039A1-D376-4120-AD3F-CCF37537622B}">
      <text>
        <r>
          <rPr>
            <b/>
            <sz val="9"/>
            <color indexed="81"/>
            <rFont val="Tahoma"/>
            <family val="2"/>
          </rPr>
          <t>$29</t>
        </r>
      </text>
    </comment>
    <comment ref="AS5" authorId="0" shapeId="0" xr:uid="{0B8F3288-B0D4-4130-91DD-40F3255F14EA}">
      <text>
        <r>
          <rPr>
            <b/>
            <sz val="9"/>
            <color indexed="81"/>
            <rFont val="Tahoma"/>
            <family val="2"/>
          </rPr>
          <t>$7.50, $6.50</t>
        </r>
      </text>
    </comment>
    <comment ref="BS7" authorId="0" shapeId="0" xr:uid="{85169BC7-4D29-4166-8DD2-DDE1C86FF166}">
      <text>
        <r>
          <rPr>
            <b/>
            <sz val="9"/>
            <color indexed="81"/>
            <rFont val="Tahoma"/>
            <family val="2"/>
          </rPr>
          <t>$38</t>
        </r>
      </text>
    </comment>
    <comment ref="DI7" authorId="0" shapeId="0" xr:uid="{DB27A865-B4C2-48E0-A4F1-CDE987F0199C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R8" authorId="0" shapeId="0" xr:uid="{B658F5B3-97D1-49DF-A842-01C05A59A459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B8" authorId="0" shapeId="0" xr:uid="{13B4482C-B9CF-48DA-AB1B-686DEA0D3859}">
      <text>
        <r>
          <rPr>
            <b/>
            <sz val="9"/>
            <color indexed="81"/>
            <rFont val="Tahoma"/>
            <family val="2"/>
          </rPr>
          <t>$8</t>
        </r>
      </text>
    </comment>
    <comment ref="AS8" authorId="0" shapeId="0" xr:uid="{12C9958D-1901-4EEA-A6AD-C8AE4EABB3D0}">
      <text>
        <r>
          <rPr>
            <b/>
            <sz val="9"/>
            <color indexed="81"/>
            <rFont val="Tahoma"/>
            <family val="2"/>
          </rPr>
          <t>$8.50</t>
        </r>
      </text>
    </comment>
    <comment ref="BS8" authorId="0" shapeId="0" xr:uid="{EC97759B-06A4-43EE-857F-EA40925FCE29}">
      <text>
        <r>
          <rPr>
            <b/>
            <sz val="9"/>
            <color indexed="81"/>
            <rFont val="Tahoma"/>
            <family val="2"/>
          </rPr>
          <t>$9</t>
        </r>
      </text>
    </comment>
    <comment ref="CK8" authorId="1" shapeId="0" xr:uid="{471AB380-4D35-483E-9FFB-A9ACB2A1D710}">
      <text>
        <r>
          <rPr>
            <b/>
            <sz val="9"/>
            <color indexed="81"/>
            <rFont val="Tahoma"/>
            <family val="2"/>
          </rPr>
          <t>$7
$8.20</t>
        </r>
      </text>
    </comment>
    <comment ref="AS10" authorId="0" shapeId="0" xr:uid="{F3A6D9E8-7A9E-4824-9843-6E16B8CE60AB}">
      <text>
        <r>
          <rPr>
            <sz val="9"/>
            <color indexed="81"/>
            <rFont val="Tahoma"/>
            <family val="2"/>
          </rPr>
          <t xml:space="preserve">$6
</t>
        </r>
      </text>
    </comment>
    <comment ref="AX25" authorId="0" shapeId="0" xr:uid="{A5DD77FC-9325-4555-9B0F-E8D062C7AE98}">
      <text>
        <r>
          <rPr>
            <b/>
            <sz val="9"/>
            <color indexed="81"/>
            <rFont val="Tahoma"/>
            <family val="2"/>
          </rPr>
          <t>$13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O25" authorId="0" shapeId="0" xr:uid="{E447A2E4-B5A1-45B6-A7CC-A678152DAEA2}">
      <text>
        <r>
          <rPr>
            <b/>
            <sz val="9"/>
            <color indexed="81"/>
            <rFont val="Tahoma"/>
            <family val="2"/>
          </rPr>
          <t>last price $13</t>
        </r>
      </text>
    </comment>
    <comment ref="CX28" authorId="1" shapeId="0" xr:uid="{2306BCCC-40F7-4E9B-9230-F6326B9FC6E8}">
      <text>
        <r>
          <rPr>
            <b/>
            <sz val="9"/>
            <color indexed="81"/>
            <rFont val="Tahoma"/>
            <family val="2"/>
          </rPr>
          <t>￥40？</t>
        </r>
      </text>
    </comment>
    <comment ref="BF69" authorId="0" shapeId="0" xr:uid="{2C71E693-4B39-49A8-A110-FC44FD7D31E6}">
      <text>
        <r>
          <rPr>
            <b/>
            <sz val="9"/>
            <color indexed="81"/>
            <rFont val="Tahoma"/>
            <family val="2"/>
          </rPr>
          <t>$52</t>
        </r>
      </text>
    </comment>
    <comment ref="M86" authorId="1" shapeId="0" xr:uid="{93C498B8-18BB-4265-A9ED-FFE923734901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86" authorId="1" shapeId="0" xr:uid="{CA795EFE-73A5-469F-B925-EB330E116989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86" authorId="1" shapeId="0" xr:uid="{163215FD-C56B-4A5F-8E77-22C0E149ABCD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86" authorId="1" shapeId="0" xr:uid="{6DEF673A-274D-4057-92D8-9FCDC07DA044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M87" authorId="1" shapeId="0" xr:uid="{DD170745-D002-4506-8980-BA70514FCFFC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X87" authorId="1" shapeId="0" xr:uid="{3A751D1C-78C2-4050-BABC-E4FBA7B7744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Y87" authorId="1" shapeId="0" xr:uid="{D7AAB707-6259-4526-8D8B-590B27367EFE}">
      <text>
        <r>
          <rPr>
            <b/>
            <sz val="9"/>
            <color indexed="81"/>
            <rFont val="Tahoma"/>
            <family val="2"/>
          </rPr>
          <t>$21, $19</t>
        </r>
      </text>
    </comment>
    <comment ref="BO87" authorId="1" shapeId="0" xr:uid="{4E936611-740E-4646-8746-3C9164D188C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CA87" authorId="1" shapeId="0" xr:uid="{76FEEEC6-2354-4F2D-945B-332F7E53AD98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BF90" authorId="0" shapeId="0" xr:uid="{15338F3F-1E89-4E26-94D5-DF0790B14CA7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BT115" authorId="1" shapeId="0" xr:uid="{FB56CC11-FA87-474E-BA69-41BC616AC56F}">
      <text>
        <r>
          <rPr>
            <sz val="9"/>
            <color indexed="81"/>
            <rFont val="Tahoma"/>
            <family val="2"/>
          </rPr>
          <t xml:space="preserve">F/MAN  FULL BOX
</t>
        </r>
      </text>
    </comment>
    <comment ref="O119" authorId="1" shapeId="0" xr:uid="{38CE4FEC-9BD5-4B96-B312-6D76BD41B5D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Q119" authorId="1" shapeId="0" xr:uid="{6BBFBDB1-A624-4E87-AFF4-086625F89904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TO SELF PACKING AS INSTRUCTED BY Mr. Tan on 11/10</t>
        </r>
      </text>
    </comment>
    <comment ref="CP119" authorId="1" shapeId="0" xr:uid="{9B0B2671-456F-434B-9858-FE1B56D45AB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NEW ITEMS ADDED ON 22-10-2019
</t>
        </r>
      </text>
    </comment>
    <comment ref="DJ119" authorId="1" shapeId="0" xr:uid="{9157885C-0460-43AD-8F58-ECE3B3453442}">
      <text>
        <r>
          <rPr>
            <sz val="9"/>
            <color indexed="81"/>
            <rFont val="Tahoma"/>
            <family val="2"/>
          </rPr>
          <t xml:space="preserve">must use this original pack
</t>
        </r>
      </text>
    </comment>
    <comment ref="AD126" authorId="0" shapeId="0" xr:uid="{B23C8ADA-C7CC-4378-8F23-3961B009BFA9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BV126" authorId="0" shapeId="0" xr:uid="{4AEDDB1D-4C58-4000-8302-C393C4C4E753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G126" authorId="0" shapeId="0" xr:uid="{D78EFBE0-D046-440A-BE44-6A47BA243E8D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L126" authorId="0" shapeId="0" xr:uid="{C863AE71-87D4-4FA1-9EAB-5446A6C84324}">
      <text>
        <r>
          <rPr>
            <b/>
            <sz val="9"/>
            <color indexed="81"/>
            <rFont val="Tahoma"/>
            <family val="2"/>
          </rPr>
          <t>$0.80</t>
        </r>
      </text>
    </comment>
    <comment ref="CP130" authorId="1" shapeId="0" xr:uid="{0CA5588C-C539-4ADC-BC18-59AC57D18DF6}">
      <text>
        <r>
          <rPr>
            <sz val="9"/>
            <color indexed="81"/>
            <rFont val="Tahoma"/>
            <family val="2"/>
          </rPr>
          <t xml:space="preserve">NEW ITEM ADDED ON 22-10-2019
</t>
        </r>
      </text>
    </comment>
    <comment ref="H160" authorId="0" shapeId="0" xr:uid="{03C00E2F-42C5-4B24-BBCC-95DC1D4FE313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F161" authorId="1" shapeId="0" xr:uid="{5BC7A6D0-B7B7-4E40-8767-CBCFC941637C}">
      <text>
        <r>
          <rPr>
            <b/>
            <sz val="9"/>
            <color indexed="81"/>
            <rFont val="Tahoma"/>
            <family val="2"/>
          </rPr>
          <t>500 gmxs x 2</t>
        </r>
      </text>
    </comment>
    <comment ref="BX187" authorId="0" shapeId="0" xr:uid="{8C4E3373-9F78-4163-834D-D8582EE7CBB5}">
      <text>
        <r>
          <rPr>
            <b/>
            <sz val="9"/>
            <color indexed="81"/>
            <rFont val="Tahoma"/>
            <family val="2"/>
          </rPr>
          <t>$16.80 in 1st Jan</t>
        </r>
      </text>
    </comment>
    <comment ref="Y202" authorId="0" shapeId="0" xr:uid="{8D0ADA81-6FBA-410E-AF52-B4EE3178C79B}">
      <text>
        <r>
          <rPr>
            <b/>
            <sz val="9"/>
            <color indexed="81"/>
            <rFont val="Tahoma"/>
            <family val="2"/>
          </rPr>
          <t>8.5</t>
        </r>
      </text>
    </comment>
    <comment ref="CX212" authorId="1" shapeId="0" xr:uid="{65FC9D0A-920D-4879-B73C-8773F74D27C1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CHANGE FROM TL TO CH FROM 28/09
</t>
        </r>
      </text>
    </comment>
    <comment ref="AB233" authorId="0" shapeId="0" xr:uid="{798C0A23-F94B-4A22-8C94-55E4BD0FC426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CV233" authorId="0" shapeId="0" xr:uid="{C423B9E7-9494-43B7-945C-D4D6E2204DC7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DJ233" authorId="0" shapeId="0" xr:uid="{2C16C28D-7FC3-4509-8E21-F9936987A5F3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Y295" authorId="1" shapeId="0" xr:uid="{F38C1833-A366-4A57-B45F-3F43CE29507F}">
      <text>
        <r>
          <rPr>
            <b/>
            <sz val="9"/>
            <color indexed="81"/>
            <rFont val="Tahoma"/>
            <family val="2"/>
          </rPr>
          <t>18??</t>
        </r>
      </text>
    </comment>
    <comment ref="AB301" authorId="0" shapeId="0" xr:uid="{819E1828-00FB-43A8-B532-E301C8A7F229}">
      <text>
        <r>
          <rPr>
            <b/>
            <sz val="9"/>
            <color indexed="81"/>
            <rFont val="Tahoma"/>
            <family val="2"/>
          </rPr>
          <t>$36</t>
        </r>
      </text>
    </comment>
    <comment ref="AB302" authorId="0" shapeId="0" xr:uid="{1677E81E-5DAE-4422-9D8C-5F3E0BF852F6}">
      <text>
        <r>
          <rPr>
            <b/>
            <sz val="9"/>
            <color indexed="81"/>
            <rFont val="Tahoma"/>
            <family val="2"/>
          </rPr>
          <t>$22 after GB finish</t>
        </r>
      </text>
    </comment>
    <comment ref="CL302" authorId="0" shapeId="0" xr:uid="{A38684C4-5122-4AF1-A91B-769584870DD8}">
      <text>
        <r>
          <rPr>
            <b/>
            <sz val="9"/>
            <color indexed="81"/>
            <rFont val="Tahoma"/>
            <family val="2"/>
          </rPr>
          <t>$21</t>
        </r>
      </text>
    </comment>
    <comment ref="BS304" authorId="0" shapeId="0" xr:uid="{59B92389-BF5E-49A3-9756-EA8398758C36}">
      <text>
        <r>
          <rPr>
            <b/>
            <sz val="9"/>
            <color indexed="81"/>
            <rFont val="Tahoma"/>
            <family val="2"/>
          </rPr>
          <t>$22 if order</t>
        </r>
      </text>
    </comment>
    <comment ref="Y310" authorId="1" shapeId="0" xr:uid="{0A0B4905-7FE7-47F3-9C8D-5F2332D5B568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ORDER BY LOSS PACK</t>
        </r>
      </text>
    </comment>
    <comment ref="BX310" authorId="0" shapeId="0" xr:uid="{1FD588DF-F1AA-4B81-BB66-253B5DC6F18B}">
      <text>
        <r>
          <rPr>
            <b/>
            <sz val="9"/>
            <color indexed="81"/>
            <rFont val="Tahoma"/>
            <family val="2"/>
          </rPr>
          <t>$58.00 new price</t>
        </r>
      </text>
    </comment>
    <comment ref="CV355" authorId="0" shapeId="0" xr:uid="{401DF799-435D-46A7-A9A3-31CAE1C1D3E4}">
      <text>
        <r>
          <rPr>
            <b/>
            <sz val="9"/>
            <color indexed="81"/>
            <rFont val="Tahoma"/>
            <family val="2"/>
          </rPr>
          <t>23</t>
        </r>
      </text>
    </comment>
    <comment ref="Y363" authorId="0" shapeId="0" xr:uid="{56D68F72-514D-4A2A-A930-5AE111B0A7FF}">
      <text>
        <r>
          <rPr>
            <b/>
            <sz val="9"/>
            <color indexed="81"/>
            <rFont val="Tahoma"/>
            <family val="2"/>
          </rPr>
          <t>14</t>
        </r>
      </text>
    </comment>
    <comment ref="AS363" authorId="0" shapeId="0" xr:uid="{09FA7206-1FC0-485C-9BB1-5236A8189B6A}">
      <text>
        <r>
          <rPr>
            <b/>
            <sz val="9"/>
            <color indexed="81"/>
            <rFont val="Tahoma"/>
            <family val="2"/>
          </rPr>
          <t>$13</t>
        </r>
      </text>
    </comment>
    <comment ref="Y367" authorId="0" shapeId="0" xr:uid="{0C96AAEA-CD5D-42E1-B7B2-22F69DA505BC}">
      <text>
        <r>
          <rPr>
            <b/>
            <sz val="9"/>
            <color indexed="81"/>
            <rFont val="Tahoma"/>
            <family val="2"/>
          </rPr>
          <t>13.8</t>
        </r>
      </text>
    </comment>
    <comment ref="L370" authorId="0" shapeId="0" xr:uid="{1BAAF83D-71C2-413A-AF5D-A71C8692041A}">
      <text>
        <r>
          <rPr>
            <b/>
            <sz val="9"/>
            <color indexed="81"/>
            <rFont val="Tahoma"/>
            <family val="2"/>
          </rPr>
          <t>$27</t>
        </r>
      </text>
    </comment>
    <comment ref="M370" authorId="0" shapeId="0" xr:uid="{856037EF-F89B-45A3-A71C-31A663D7E4D9}">
      <text>
        <r>
          <rPr>
            <b/>
            <sz val="9"/>
            <color indexed="81"/>
            <rFont val="Tahoma"/>
            <family val="2"/>
          </rPr>
          <t>29</t>
        </r>
      </text>
    </comment>
    <comment ref="X370" authorId="0" shapeId="0" xr:uid="{0E7B11BE-7C7B-4999-B294-5C04EED0911A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BX370" authorId="0" shapeId="0" xr:uid="{994E6BB3-7ABB-40F8-AE8D-19A8B3C385E7}">
      <text>
        <r>
          <rPr>
            <b/>
            <sz val="9"/>
            <color indexed="81"/>
            <rFont val="Tahoma"/>
            <family val="2"/>
          </rPr>
          <t xml:space="preserve">$30.50 new price
</t>
        </r>
      </text>
    </comment>
    <comment ref="BX371" authorId="0" shapeId="0" xr:uid="{2167CC29-9163-4D49-B7D6-006BCB1B493E}">
      <text>
        <r>
          <rPr>
            <b/>
            <sz val="9"/>
            <color indexed="81"/>
            <rFont val="Tahoma"/>
            <family val="2"/>
          </rPr>
          <t>$29.50 new price</t>
        </r>
      </text>
    </comment>
    <comment ref="CT371" authorId="0" shapeId="0" xr:uid="{4576C243-7941-41FF-9CEC-72B781CC9128}">
      <text>
        <r>
          <rPr>
            <b/>
            <sz val="9"/>
            <color indexed="81"/>
            <rFont val="Tahoma"/>
            <family val="2"/>
          </rPr>
          <t>01/04/2021 Price increase from $46 to $48</t>
        </r>
      </text>
    </comment>
    <comment ref="CT375" authorId="0" shapeId="0" xr:uid="{58F90E66-0948-40EB-81F6-775562F3A534}">
      <text>
        <r>
          <rPr>
            <b/>
            <sz val="9"/>
            <color indexed="81"/>
            <rFont val="Tahoma"/>
            <family val="2"/>
          </rPr>
          <t>01/04/2021 Price increase from $23 to $24</t>
        </r>
      </text>
    </comment>
    <comment ref="BX376" authorId="0" shapeId="0" xr:uid="{8223ADF3-A5A1-4AFD-AFD6-CE79049AB4E0}">
      <text>
        <r>
          <rPr>
            <b/>
            <sz val="9"/>
            <color indexed="81"/>
            <rFont val="Tahoma"/>
            <family val="2"/>
          </rPr>
          <t xml:space="preserve">$37 in 1st Jan
</t>
        </r>
      </text>
    </comment>
    <comment ref="DF388" authorId="1" shapeId="0" xr:uid="{EB268AC9-5FE7-4114-AF2A-088B0F511C2D}">
      <text>
        <r>
          <rPr>
            <sz val="9"/>
            <color indexed="81"/>
            <rFont val="Tahoma"/>
            <family val="2"/>
          </rPr>
          <t xml:space="preserve">10 kgs
</t>
        </r>
      </text>
    </comment>
    <comment ref="DF390" authorId="1" shapeId="0" xr:uid="{E011F184-CE30-43C2-8086-4CD08688CFF4}">
      <text>
        <r>
          <rPr>
            <b/>
            <sz val="9"/>
            <color indexed="81"/>
            <rFont val="Tahoma"/>
            <family val="2"/>
          </rPr>
          <t>big</t>
        </r>
      </text>
    </comment>
    <comment ref="CL393" authorId="1" shapeId="0" xr:uid="{572DD2C9-5DDB-4023-86B6-0F0B0764BD97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CL394" authorId="1" shapeId="0" xr:uid="{329A7ABF-8A98-46D2-A125-1FDF18FF0796}">
      <text>
        <r>
          <rPr>
            <b/>
            <sz val="9"/>
            <color indexed="81"/>
            <rFont val="Tahoma"/>
            <family val="2"/>
          </rPr>
          <t>6 kgs</t>
        </r>
      </text>
    </comment>
    <comment ref="BS413" authorId="0" shapeId="0" xr:uid="{35EB0011-4405-4CFD-A996-A6EB3D1F9825}">
      <text>
        <r>
          <rPr>
            <b/>
            <sz val="9"/>
            <color indexed="81"/>
            <rFont val="Tahoma"/>
            <family val="2"/>
          </rPr>
          <t>$15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<sst xmlns="http://schemas.openxmlformats.org/spreadsheetml/2006/main" count="8889" uniqueCount="1766">
  <si>
    <t>Product Code</t>
  </si>
  <si>
    <t>Description</t>
  </si>
  <si>
    <t>ITEM</t>
  </si>
  <si>
    <t>PRODUCT CODE</t>
  </si>
  <si>
    <t>DESCRIPTION</t>
  </si>
  <si>
    <t>UNIT PRICE</t>
  </si>
  <si>
    <t>AMOUNT (S$)</t>
  </si>
  <si>
    <t>Bill To:</t>
  </si>
  <si>
    <t>Delivery To:</t>
  </si>
  <si>
    <t>Date</t>
  </si>
  <si>
    <t>Terms</t>
  </si>
  <si>
    <t>Sales</t>
  </si>
  <si>
    <t>30 days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</si>
  <si>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</si>
  <si>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</si>
  <si>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</si>
  <si>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</si>
  <si>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</si>
  <si>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</si>
  <si>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</si>
  <si>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</si>
  <si>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</si>
  <si>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</si>
  <si>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</si>
  <si>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</si>
  <si>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</si>
  <si>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</si>
  <si>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</si>
  <si>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</si>
  <si>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</si>
  <si>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</si>
  <si>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</si>
  <si>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</si>
  <si>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</si>
  <si>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Ctn</t>
  </si>
  <si>
    <t>Pkt</t>
  </si>
  <si>
    <t>2 kgs</t>
  </si>
  <si>
    <t>Bag</t>
  </si>
  <si>
    <t>Bottle</t>
  </si>
  <si>
    <t>Chefs</t>
  </si>
  <si>
    <t>Can</t>
  </si>
  <si>
    <t>Coco</t>
  </si>
  <si>
    <t>Statue</t>
  </si>
  <si>
    <t>statue</t>
  </si>
  <si>
    <t>500 gm</t>
  </si>
  <si>
    <t>PKT</t>
  </si>
  <si>
    <t>Rabbit Brand</t>
  </si>
  <si>
    <t>INDONESIA</t>
  </si>
  <si>
    <t>5 kgs</t>
  </si>
  <si>
    <t>Tukhmaria</t>
  </si>
  <si>
    <t>Thai</t>
  </si>
  <si>
    <t>1kg</t>
  </si>
  <si>
    <t>Fujian</t>
  </si>
  <si>
    <t>AA</t>
  </si>
  <si>
    <t>Star</t>
  </si>
  <si>
    <t>Kara UHT</t>
  </si>
  <si>
    <t>Malaysia</t>
  </si>
  <si>
    <t>Brand</t>
  </si>
  <si>
    <t>Customer Code</t>
  </si>
  <si>
    <t>DO!</t>
  </si>
  <si>
    <t>10kgs/ctn</t>
  </si>
  <si>
    <t>3KGS/PKT</t>
  </si>
  <si>
    <t>5KGS/PKT</t>
  </si>
  <si>
    <t>3 KGS/PKT</t>
  </si>
  <si>
    <t>10PKT/BAG</t>
  </si>
  <si>
    <t>1 KG</t>
  </si>
  <si>
    <t>820g/Can x 12 Can</t>
  </si>
  <si>
    <t>Delivery Location</t>
  </si>
  <si>
    <t>ID</t>
  </si>
  <si>
    <t>1 Can X A10</t>
  </si>
  <si>
    <t>BL BRAND</t>
  </si>
  <si>
    <t>Tin</t>
  </si>
  <si>
    <t>500 gms</t>
  </si>
  <si>
    <t>5 kg</t>
  </si>
  <si>
    <t>1 pc</t>
  </si>
  <si>
    <t>Pce</t>
  </si>
  <si>
    <t>BTL</t>
  </si>
  <si>
    <t>1 Btl</t>
  </si>
  <si>
    <t>25 kgs/Bag</t>
  </si>
  <si>
    <t>30 kgs/bag</t>
  </si>
  <si>
    <t>Rose</t>
  </si>
  <si>
    <t>PO No</t>
  </si>
  <si>
    <t>BOX</t>
  </si>
  <si>
    <t>Cash</t>
  </si>
  <si>
    <t>Almond No 1</t>
  </si>
  <si>
    <t>Mango</t>
  </si>
  <si>
    <t>Sin-ind</t>
  </si>
  <si>
    <t>Hershey's</t>
  </si>
  <si>
    <t>Btl</t>
  </si>
  <si>
    <t>Group Billing</t>
  </si>
  <si>
    <t>3Q Jelly</t>
  </si>
  <si>
    <t>PKt</t>
  </si>
  <si>
    <t>4 lt</t>
  </si>
  <si>
    <t>Drum</t>
  </si>
  <si>
    <t>#01-16</t>
  </si>
  <si>
    <t>#02-75</t>
  </si>
  <si>
    <t>Rojak #01-28</t>
  </si>
  <si>
    <t xml:space="preserve">顺兴         </t>
  </si>
  <si>
    <t>TL</t>
  </si>
  <si>
    <t>2P</t>
  </si>
  <si>
    <t>丰</t>
  </si>
  <si>
    <t>xxx             Blk 29      #01-77</t>
  </si>
  <si>
    <t>Joo Chiat             Blk 2        #01-77</t>
  </si>
  <si>
    <t>晶晶   Blk51   #01-89</t>
  </si>
  <si>
    <t>Taman Jurong          Blk 399   #01-16</t>
  </si>
  <si>
    <t>Good New F&amp;B         Blk 60  #??</t>
  </si>
  <si>
    <t>新美华  Blk.8A  #03-11</t>
  </si>
  <si>
    <t>xxx        Blk  503   #01-15</t>
  </si>
  <si>
    <t>Bus Int.    Blk 850 #01-07</t>
  </si>
  <si>
    <t>凉凉</t>
  </si>
  <si>
    <t>XXX        Blk 50 #23-54</t>
  </si>
  <si>
    <t>Toa Payoh Blk.203 #01-1189</t>
  </si>
  <si>
    <t>合成兴  Blk.15  #04-53</t>
  </si>
  <si>
    <t>xxx             Blk 190B   #08-960</t>
  </si>
  <si>
    <t>OG           #01-1142</t>
  </si>
  <si>
    <t>好运      Blk 15      #03-24</t>
  </si>
  <si>
    <t>Changi Village      #01-44</t>
  </si>
  <si>
    <t>Changi Village      #01-08</t>
  </si>
  <si>
    <t>Holland Village           #01-25</t>
  </si>
  <si>
    <t>Ricuton          Blk 476        #01-500</t>
  </si>
  <si>
    <t>???  Blk.15  #04-61</t>
  </si>
  <si>
    <t>AMK     Blk 628       #01-94</t>
  </si>
  <si>
    <t>TP   Block 95             #01-50</t>
  </si>
  <si>
    <t>Yishun Blk 285     #01-08</t>
  </si>
  <si>
    <t>AVO           #01-55</t>
  </si>
  <si>
    <t>AMK      Blk 724          #01-07</t>
  </si>
  <si>
    <t>Sin Lim Square       #31-07</t>
  </si>
  <si>
    <t>xxx     Blk.118  #01-1190</t>
  </si>
  <si>
    <t>Tuas      No 10</t>
  </si>
  <si>
    <t>My Daily Juice   #B1-08A</t>
  </si>
  <si>
    <t>xxx       Blk. 3                #03-158</t>
  </si>
  <si>
    <t>来 来       Blk 11       #01-79</t>
  </si>
  <si>
    <t>xxx       Blk 254           #01-58</t>
  </si>
  <si>
    <t>xxx        Blk 883        #01-492</t>
  </si>
  <si>
    <t>xxx         Blk 117          #01-07</t>
  </si>
  <si>
    <t>Changi Village      #01-37</t>
  </si>
  <si>
    <t>Telok ??        Blk 11        #01-128</t>
  </si>
  <si>
    <t>ABC  兴兴</t>
  </si>
  <si>
    <t>Tampine Blk 828 #01-254</t>
  </si>
  <si>
    <t>福元    Blk254         #01-05</t>
  </si>
  <si>
    <t>Marine Terrace  Blk 57  #01-57</t>
  </si>
  <si>
    <t>AMk     Blk.232  #01-1210</t>
  </si>
  <si>
    <t>金园      Blk 416 Bedok</t>
  </si>
  <si>
    <t>豆花水         Blk 159    #02-30</t>
  </si>
  <si>
    <t>Blk 146</t>
  </si>
  <si>
    <t>面煎糕     Bedok Blk. 630  #01-30</t>
  </si>
  <si>
    <t>xxx  Blk.15  #04-55</t>
  </si>
  <si>
    <t>xxx         Blk 15             #03-57</t>
  </si>
  <si>
    <t>MFC   Bukit Timah #32-</t>
  </si>
  <si>
    <t>明成 Toa Payoh    Blk 75            #01-03</t>
  </si>
  <si>
    <t>U Cool   Blk.44     #01-1468</t>
  </si>
  <si>
    <t>AMK      Blk 453       #01-35</t>
  </si>
  <si>
    <t>xxx         Blk 39,  Woodland Close #07-14</t>
  </si>
  <si>
    <t>Fruit Commonwealth Drive        #01-27</t>
  </si>
  <si>
    <t>面煎糕     ??? Blk. 628  #01-39</t>
  </si>
  <si>
    <t>张隆利</t>
  </si>
  <si>
    <t>Local Coffee People (IP) PL   Blk 10, Collyer Quay    #B1-10</t>
  </si>
  <si>
    <t>面煎糕             Blk 531   #02-39</t>
  </si>
  <si>
    <t>Penang xxx Suntec #02???</t>
  </si>
  <si>
    <t>Dover  School ???</t>
  </si>
  <si>
    <t xml:space="preserve">Fresh Soursop 红毛榴莲 </t>
  </si>
  <si>
    <t>Q Ball Q圆</t>
  </si>
  <si>
    <t>Tadpole蝌蚪</t>
  </si>
  <si>
    <t>Honey Pearl - Black 蜜糖珍珠</t>
  </si>
  <si>
    <t>Tapioca木薯</t>
  </si>
  <si>
    <t>Bobo Cha Cubes.摩摩喳喳</t>
  </si>
  <si>
    <t>Chendol浆咯</t>
  </si>
  <si>
    <t>Chin Chow  仙 草</t>
  </si>
  <si>
    <t>Agar Powder菜燕粉</t>
  </si>
  <si>
    <t>Sea Coconut海底椰</t>
  </si>
  <si>
    <t>Lychee in Syrup荔枝</t>
  </si>
  <si>
    <t>Fruit Cocktail杂果</t>
  </si>
  <si>
    <t>Whole Corn玉米粒</t>
  </si>
  <si>
    <t>Peach 桃畔</t>
  </si>
  <si>
    <t>Atap Seeds in Syrup亚嗒子</t>
  </si>
  <si>
    <t>Tapioca Flour 茨粉</t>
  </si>
  <si>
    <t>Selaseh (Basil Seed) 青蛙蛋</t>
  </si>
  <si>
    <t>Chia Tao赤豆</t>
  </si>
  <si>
    <t>Green Bean 绿豆</t>
  </si>
  <si>
    <t>Black Glutinous Rice 黑糯米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</si>
  <si>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</si>
  <si>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</si>
  <si>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</si>
  <si>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</si>
  <si>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</si>
  <si>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</si>
  <si>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</si>
  <si>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</si>
  <si>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</si>
  <si>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</si>
  <si>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</si>
  <si>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Pong Thai Hai (Wet) 碰大海</t>
  </si>
  <si>
    <t>Bean Curd Sheet 腐竹</t>
  </si>
  <si>
    <t>Potato Starch 风车粉</t>
  </si>
  <si>
    <t>Sweet Potato 番薯</t>
  </si>
  <si>
    <t>Yam 芋头</t>
  </si>
  <si>
    <t>Pandan Leaf 班兰叶</t>
  </si>
  <si>
    <t>Coconut Milk 椰浆</t>
  </si>
  <si>
    <t>Ginger 老姜</t>
  </si>
  <si>
    <t>Yu Tiao 油条</t>
  </si>
  <si>
    <t>Candy Sugar 片糖</t>
  </si>
  <si>
    <t>Coco Syrup 可可糖浆</t>
  </si>
  <si>
    <t>Fine Salt  幼盐</t>
  </si>
  <si>
    <t>Liquid Maltose 麦芽糖</t>
  </si>
  <si>
    <t>SALT 盐</t>
  </si>
  <si>
    <t>Sour Plum 酸梅</t>
  </si>
  <si>
    <t>Peanut 花生</t>
  </si>
  <si>
    <t>Colour Rice 七彩米</t>
  </si>
  <si>
    <t>CoCo Rice 可可米</t>
  </si>
  <si>
    <t>RICE FLOUR 粘米粉</t>
  </si>
  <si>
    <t>Water Chestnut Juice 马蹄水</t>
  </si>
  <si>
    <t>Calamansi Juice 酸柑水</t>
  </si>
  <si>
    <t>Sour Plum Juice 酸梅水</t>
  </si>
  <si>
    <t>Rose Juice 玫瑰水</t>
  </si>
  <si>
    <t>Passion Fruit Jam 百香果</t>
  </si>
  <si>
    <t>Blueberry 蓝莓酱</t>
  </si>
  <si>
    <t>Agar Strip 菜燕条</t>
  </si>
  <si>
    <t>Royal M</t>
  </si>
  <si>
    <t>Delivery Group</t>
  </si>
  <si>
    <t>H</t>
  </si>
  <si>
    <t>SM</t>
  </si>
  <si>
    <t>C,H</t>
  </si>
  <si>
    <t>C</t>
  </si>
  <si>
    <t>Sat</t>
  </si>
  <si>
    <t>Wed, Fri</t>
  </si>
  <si>
    <t>Mon, Thu</t>
  </si>
  <si>
    <t>Mon, Wed, Fri</t>
  </si>
  <si>
    <t>Mon</t>
  </si>
  <si>
    <t>SM, H</t>
  </si>
  <si>
    <t>C.H</t>
  </si>
  <si>
    <t>SM,H</t>
  </si>
  <si>
    <t>Tue, Fri</t>
  </si>
  <si>
    <t>Only You Dessert                                   Hong Lim Market &amp; Food Centre Blk 531 Upper Cross Street   #02-44  Singapore 051531</t>
  </si>
  <si>
    <t>C, SM, H</t>
  </si>
  <si>
    <t>H,C</t>
  </si>
  <si>
    <t>豆花水                                                     Blk 159 Mei Chin Road #02-30 Singapore 140159</t>
  </si>
  <si>
    <t>H, C</t>
  </si>
  <si>
    <t>1 Lt/BTL</t>
  </si>
  <si>
    <t>来兴</t>
  </si>
  <si>
    <t>KHS</t>
  </si>
  <si>
    <t>Jalan Perlikait B1-03</t>
  </si>
  <si>
    <t>Micron Gate 5</t>
  </si>
  <si>
    <t>Blk 682 Hougang #01-08</t>
  </si>
  <si>
    <t>合成园 Blk 15 #04-52</t>
  </si>
  <si>
    <t>XXX           Tampine Blk 828    #???</t>
  </si>
  <si>
    <t>合祥   Blk15  #04-43</t>
  </si>
  <si>
    <t>Blk 151 A Serangoon North Ave 1</t>
  </si>
  <si>
    <t>AVO                                                             International Plaza, 10 Anson Road  #01-55 Singapore 079903</t>
  </si>
  <si>
    <t>??</t>
  </si>
  <si>
    <t>My Daily Juice</t>
  </si>
  <si>
    <t>Hong Lim Market &amp; Food Centre</t>
  </si>
  <si>
    <t>Blk 531, Upper Cross Street</t>
  </si>
  <si>
    <t>Only You Dessert</t>
  </si>
  <si>
    <t>#02-44 Singpaore 051531</t>
  </si>
  <si>
    <t>Blk 803 King George's Ave</t>
  </si>
  <si>
    <t>Singapore 200803</t>
  </si>
  <si>
    <t>Bendemeer Market &amp; Food Centre</t>
  </si>
  <si>
    <t>M001</t>
  </si>
  <si>
    <t>M003</t>
  </si>
  <si>
    <t>M005</t>
  </si>
  <si>
    <t>M006</t>
  </si>
  <si>
    <t>M007</t>
  </si>
  <si>
    <t>M008</t>
  </si>
  <si>
    <t>M011</t>
  </si>
  <si>
    <t>R003</t>
  </si>
  <si>
    <t>R006</t>
  </si>
  <si>
    <t>R008</t>
  </si>
  <si>
    <t>R010</t>
  </si>
  <si>
    <t>R012</t>
  </si>
  <si>
    <t>R021</t>
  </si>
  <si>
    <t>P004</t>
  </si>
  <si>
    <t>R045</t>
  </si>
  <si>
    <t>R047</t>
  </si>
  <si>
    <t>R048</t>
  </si>
  <si>
    <t>Orange</t>
  </si>
  <si>
    <t>Pineapple</t>
  </si>
  <si>
    <t>Tub</t>
  </si>
  <si>
    <t>P019</t>
  </si>
  <si>
    <t>P021</t>
  </si>
  <si>
    <t>P022</t>
  </si>
  <si>
    <t>P024</t>
  </si>
  <si>
    <t>P025</t>
  </si>
  <si>
    <t>P027</t>
  </si>
  <si>
    <t>P037</t>
  </si>
  <si>
    <t>P041</t>
  </si>
  <si>
    <t>P042</t>
  </si>
  <si>
    <t>P048</t>
  </si>
  <si>
    <t>P055</t>
  </si>
  <si>
    <t>P060</t>
  </si>
  <si>
    <t>P070</t>
  </si>
  <si>
    <t>400gms x 50pkt/ctn</t>
  </si>
  <si>
    <t>20kgs/1 Tin</t>
  </si>
  <si>
    <t>P072</t>
  </si>
  <si>
    <t>Lotus Seed 莲子(无）</t>
  </si>
  <si>
    <t>Lime 酸甘</t>
  </si>
  <si>
    <t>P078</t>
  </si>
  <si>
    <t>Sour Plum 酸梅（无子）</t>
  </si>
  <si>
    <t>P079</t>
  </si>
  <si>
    <t>P082</t>
  </si>
  <si>
    <t>Indonesia</t>
  </si>
  <si>
    <t>Lime Juice 柠檬汁</t>
  </si>
  <si>
    <t>3 kgs</t>
  </si>
  <si>
    <t>Kg</t>
  </si>
  <si>
    <t>6 kgs</t>
  </si>
  <si>
    <t>12.5 kgs</t>
  </si>
  <si>
    <t>Chilli 辣椒酱</t>
  </si>
  <si>
    <t>U Cool</t>
  </si>
  <si>
    <t>Bendemeer Road Blk 44,</t>
  </si>
  <si>
    <t>#01-1468 Singapore 33004</t>
  </si>
  <si>
    <t>Block 628 Ang Mo Kio Ave 4</t>
  </si>
  <si>
    <t>#01-66 Singapore 560628</t>
  </si>
  <si>
    <t>珍姐</t>
  </si>
  <si>
    <t>TC</t>
  </si>
  <si>
    <t>M018</t>
  </si>
  <si>
    <t>M020</t>
  </si>
  <si>
    <t>No 1</t>
  </si>
  <si>
    <t>45 gms x 10PKT/Bag</t>
  </si>
  <si>
    <t>110088/5</t>
  </si>
  <si>
    <t xml:space="preserve">3.3KG/Can </t>
  </si>
  <si>
    <t>450 ML/BTL</t>
  </si>
  <si>
    <t>Uncle Jim @Fresh Fruit                          Blk 110, Pasir Ris Central Hawker Centre  #01-17 Singapore 519641</t>
  </si>
  <si>
    <t>Granny 面煎糕                                      Blk. 630 Bedok Reservoir Road #01-30 Singapore 470630</t>
  </si>
  <si>
    <t>M021</t>
  </si>
  <si>
    <t>500/4000</t>
  </si>
  <si>
    <t>Kidney Bean 大红豆 (美国）</t>
  </si>
  <si>
    <t>400 gms</t>
  </si>
  <si>
    <t>MiLi</t>
  </si>
  <si>
    <t>Windmill</t>
  </si>
  <si>
    <t>Honeydew</t>
  </si>
  <si>
    <t>Pandan (FKJ)</t>
  </si>
  <si>
    <t>2552 Strawberry</t>
  </si>
  <si>
    <t>Peach</t>
  </si>
  <si>
    <t>Banana 23</t>
  </si>
  <si>
    <t>25 kgs/bag</t>
  </si>
  <si>
    <t xml:space="preserve"> </t>
  </si>
  <si>
    <t>Quantity</t>
  </si>
  <si>
    <t>Tel: 94232389</t>
  </si>
  <si>
    <t>Blk 117 Aljunied Ave 2.</t>
  </si>
  <si>
    <t>#01-07 Singapore 380117</t>
  </si>
  <si>
    <t>Tel: 92418557</t>
  </si>
  <si>
    <t>顺和</t>
  </si>
  <si>
    <t>Wolfberry 枸杞子</t>
  </si>
  <si>
    <t>M022</t>
  </si>
  <si>
    <t>M023</t>
  </si>
  <si>
    <t>M025</t>
  </si>
  <si>
    <t>M026</t>
  </si>
  <si>
    <t>M027</t>
  </si>
  <si>
    <t>Netual Cloudifier 白色精</t>
  </si>
  <si>
    <t>29, Bendemeer Road</t>
  </si>
  <si>
    <t>#01-77 Singapore 330029</t>
  </si>
  <si>
    <t>ABC  兴兴                                                    Blk 6, Jalan Bukit Merah. #01-101 Singapore 150006</t>
  </si>
  <si>
    <t>1KG</t>
  </si>
  <si>
    <t>Hock Lian Food Center Pte Ltd</t>
  </si>
  <si>
    <t>Singapore 42002</t>
  </si>
  <si>
    <t>Tel: 97525590</t>
  </si>
  <si>
    <t>Blk 630, Bedok Reservoir Road</t>
  </si>
  <si>
    <t>#01-30 Singapore 470630</t>
  </si>
  <si>
    <t>Tel: 97299927</t>
  </si>
  <si>
    <t>Cash Sales</t>
  </si>
  <si>
    <t>TEL: 88186127</t>
  </si>
  <si>
    <t>Blk 682, Hougang Ave 4</t>
  </si>
  <si>
    <t>Singapore 530682</t>
  </si>
  <si>
    <t>美林</t>
  </si>
  <si>
    <t>中</t>
  </si>
  <si>
    <t xml:space="preserve">Take Away </t>
  </si>
  <si>
    <t>Take Away Bubble Tea Shop</t>
  </si>
  <si>
    <t>黄</t>
  </si>
  <si>
    <t>Hock Lian Food Center P L                  Blk 2  Joo Chiat Complex,   Joo Chiat Road  #01-1127 Singpaore Singapore 420002</t>
  </si>
  <si>
    <t>PH</t>
  </si>
  <si>
    <t>150gm x 10 pkt</t>
  </si>
  <si>
    <t>美 雅咖啡室 （水  ）                           Blk 159 Mei Chin Road  #02-37  Singapore 140159</t>
  </si>
  <si>
    <t xml:space="preserve">美 雅咖啡室 </t>
  </si>
  <si>
    <t>Blk 159, Mei Chin Road</t>
  </si>
  <si>
    <t>#02-37 Singapore 140159</t>
  </si>
  <si>
    <t>CASH</t>
  </si>
  <si>
    <t>德利                                                          Blk 159 Mei Chin Road #02-28   Singapore 140159</t>
  </si>
  <si>
    <t>Marigold</t>
  </si>
  <si>
    <t>cash</t>
  </si>
  <si>
    <t>U Cool                                                      Bendemeer Road  Blk 44,                      #01-1468 Singapore 330044</t>
  </si>
  <si>
    <t>Ubi  Blk 302          #01-07</t>
  </si>
  <si>
    <t>20 kgs/桶</t>
  </si>
  <si>
    <t>5 KGS/包</t>
  </si>
  <si>
    <t>5 KGS/桶</t>
  </si>
  <si>
    <t>盒</t>
  </si>
  <si>
    <t>1 KGS/包</t>
  </si>
  <si>
    <t>4L/支</t>
  </si>
  <si>
    <t>(12g x 12pkt)/盒</t>
  </si>
  <si>
    <t>Red/红</t>
  </si>
  <si>
    <t>Black/黑</t>
  </si>
  <si>
    <t>福记                                                          Blk254  Jurong East Street 24         #01-05  Singapore 600254</t>
  </si>
  <si>
    <t>Varie Tea                                                 Potong Pasir Ave 1, Blk 146  01-137  Singapore 350146</t>
  </si>
  <si>
    <t>Good New F&amp;B                                        60, Barker Road. Singapore 309919</t>
  </si>
  <si>
    <t>三花</t>
  </si>
  <si>
    <t>Dawn牛</t>
  </si>
  <si>
    <t>405gm/can/罐</t>
  </si>
  <si>
    <t>罐</t>
  </si>
  <si>
    <t>Adam Road 01-29</t>
  </si>
  <si>
    <t>(565gm x 12)/箱</t>
  </si>
  <si>
    <t>(567gm x 12)/箱</t>
  </si>
  <si>
    <t>12can/箱</t>
  </si>
  <si>
    <t>(820gm x 12)/箱</t>
  </si>
  <si>
    <t>(425gm x 24)/箱</t>
  </si>
  <si>
    <t>(410gm x 24)/箱</t>
  </si>
  <si>
    <t>(397gm x 24)/箱</t>
  </si>
  <si>
    <t>(567gm x 24)/箱</t>
  </si>
  <si>
    <t>(1L x 12bag)/箱</t>
  </si>
  <si>
    <t>Mon , Wed</t>
  </si>
  <si>
    <t>45gm x 10PKT/Bag</t>
  </si>
  <si>
    <t xml:space="preserve">Blk 159, #02-25 </t>
  </si>
  <si>
    <t>500gm/pkt</t>
  </si>
  <si>
    <t>Cool Cup #01-1107</t>
  </si>
  <si>
    <t>150g/pkt</t>
  </si>
  <si>
    <t>信丰                                                        Blk.17, Woodlands Link.                          #01-70  Singapore 738727</t>
  </si>
  <si>
    <t>新兴甜品                                                     Blk 159 Mei Chin Road  #02-25  Singapore 140159</t>
  </si>
  <si>
    <t>Aloe Vera芦荟 10MM</t>
  </si>
  <si>
    <t>TEL: 98405118</t>
  </si>
  <si>
    <t>BLK 123 BEDOK</t>
  </si>
  <si>
    <t>WID#01</t>
  </si>
  <si>
    <t>WID#02</t>
  </si>
  <si>
    <t>WID#03</t>
  </si>
  <si>
    <t>WID#04</t>
  </si>
  <si>
    <t>WID#05</t>
  </si>
  <si>
    <t>WID#06</t>
  </si>
  <si>
    <t>WID#07</t>
  </si>
  <si>
    <t>WID#08</t>
  </si>
  <si>
    <t>WID#09</t>
  </si>
  <si>
    <t>WID#10</t>
  </si>
  <si>
    <t>WID#11</t>
  </si>
  <si>
    <t>WID#12</t>
  </si>
  <si>
    <t>WID#13</t>
  </si>
  <si>
    <t>WID#14</t>
  </si>
  <si>
    <t>WID#15</t>
  </si>
  <si>
    <t>WID#16</t>
  </si>
  <si>
    <t>WID#17</t>
  </si>
  <si>
    <t>WID#18</t>
  </si>
  <si>
    <t>WID#19</t>
  </si>
  <si>
    <t>WID#20</t>
  </si>
  <si>
    <t>WID#21</t>
  </si>
  <si>
    <t>WID#22</t>
  </si>
  <si>
    <t>WID#23</t>
  </si>
  <si>
    <t>WID#24</t>
  </si>
  <si>
    <t>WID#25</t>
  </si>
  <si>
    <t>WID#26</t>
  </si>
  <si>
    <t>WID#27</t>
  </si>
  <si>
    <t>WID#28</t>
  </si>
  <si>
    <t>WID#29</t>
  </si>
  <si>
    <t>WID#30</t>
  </si>
  <si>
    <t>WID#31</t>
  </si>
  <si>
    <t>WID#32</t>
  </si>
  <si>
    <t>WID#33</t>
  </si>
  <si>
    <t>WID#34</t>
  </si>
  <si>
    <t>WID#35</t>
  </si>
  <si>
    <t>WID#36</t>
  </si>
  <si>
    <t>WID#37</t>
  </si>
  <si>
    <t>WID#38</t>
  </si>
  <si>
    <t>WID#39</t>
  </si>
  <si>
    <t>WID#40</t>
  </si>
  <si>
    <t>WID#41</t>
  </si>
  <si>
    <t>WID#42</t>
  </si>
  <si>
    <t>WID#43</t>
  </si>
  <si>
    <t>WID#44</t>
  </si>
  <si>
    <t>WID#46</t>
  </si>
  <si>
    <t>WID#47</t>
  </si>
  <si>
    <t>WID#48</t>
  </si>
  <si>
    <t>WID#49</t>
  </si>
  <si>
    <t>WID#50</t>
  </si>
  <si>
    <t>WID#51</t>
  </si>
  <si>
    <t>WID#52</t>
  </si>
  <si>
    <t>WID#53</t>
  </si>
  <si>
    <t>WID#54</t>
  </si>
  <si>
    <t>WID#55</t>
  </si>
  <si>
    <t>WID#56</t>
  </si>
  <si>
    <t>WID#57</t>
  </si>
  <si>
    <t>WID#58</t>
  </si>
  <si>
    <t>WID#59</t>
  </si>
  <si>
    <t>WID#60</t>
  </si>
  <si>
    <t>WID#61</t>
  </si>
  <si>
    <t>WID#62</t>
  </si>
  <si>
    <t>WID#63</t>
  </si>
  <si>
    <t>WID#64</t>
  </si>
  <si>
    <t>WID#65</t>
  </si>
  <si>
    <t>WID#67</t>
  </si>
  <si>
    <t>WID#68</t>
  </si>
  <si>
    <t>WID#69</t>
  </si>
  <si>
    <t>WID#70</t>
  </si>
  <si>
    <t>WID#71</t>
  </si>
  <si>
    <t>WID#74</t>
  </si>
  <si>
    <t>WID#75</t>
  </si>
  <si>
    <t>WID#76</t>
  </si>
  <si>
    <t>WID#77</t>
  </si>
  <si>
    <t>WID#78</t>
  </si>
  <si>
    <t>WID#79</t>
  </si>
  <si>
    <t>WID#80</t>
  </si>
  <si>
    <t>WID#81</t>
  </si>
  <si>
    <t>WID#82</t>
  </si>
  <si>
    <t>WID#83</t>
  </si>
  <si>
    <t>WID#84</t>
  </si>
  <si>
    <t>WID#85</t>
  </si>
  <si>
    <t>WID#86</t>
  </si>
  <si>
    <t>WID#87</t>
  </si>
  <si>
    <t>WID#88</t>
  </si>
  <si>
    <t>WID#89</t>
  </si>
  <si>
    <t>WID#90</t>
  </si>
  <si>
    <t>WID#91</t>
  </si>
  <si>
    <t>WID#92</t>
  </si>
  <si>
    <t>WID#93</t>
  </si>
  <si>
    <t>WID#94</t>
  </si>
  <si>
    <t>WID#95</t>
  </si>
  <si>
    <t>WID#96</t>
  </si>
  <si>
    <t>WID#97</t>
  </si>
  <si>
    <t>WID#98</t>
  </si>
  <si>
    <t>WID#99</t>
  </si>
  <si>
    <t>WID#100</t>
  </si>
  <si>
    <t>WID#101</t>
  </si>
  <si>
    <t>WID#102</t>
  </si>
  <si>
    <t>WID#103</t>
  </si>
  <si>
    <t>Bedok     Blk 18 #01-77</t>
  </si>
  <si>
    <t>L &amp; H Food Blk 183 #B1-43</t>
  </si>
  <si>
    <t>WID#104</t>
  </si>
  <si>
    <t>message</t>
  </si>
  <si>
    <t>self-collection</t>
  </si>
  <si>
    <t>WID#105</t>
  </si>
  <si>
    <t>Standard Price</t>
  </si>
  <si>
    <t>WID#106</t>
  </si>
  <si>
    <t>1 kg (2 包)</t>
  </si>
  <si>
    <t>MY DAILY JUICE</t>
  </si>
  <si>
    <t>Tel: 9796999</t>
  </si>
  <si>
    <t>Only for Blk 105</t>
  </si>
  <si>
    <t>利发    Toa Payoh Lorong 8 Blk 210     #01-80</t>
  </si>
  <si>
    <t>Hougang 118                                          Hougang Ave 1, Blk.118.                    #01-1190, Singapore 530118.</t>
  </si>
  <si>
    <t>WID#107</t>
  </si>
  <si>
    <t>SIM</t>
  </si>
  <si>
    <t>#02-12</t>
  </si>
  <si>
    <t xml:space="preserve">Blk 735 Pasir Ris </t>
  </si>
  <si>
    <t>福利鲜果                                                   Blk 163  Bukit Merah Central                    #02-12 Singapore 150163</t>
  </si>
  <si>
    <t>天凉 Blk 120         #01-41</t>
  </si>
  <si>
    <t>牛车水 Blk335       #02-146</t>
  </si>
  <si>
    <t>J.Besar Blk 166    #02-58</t>
  </si>
  <si>
    <t>UBI Blk 3020       #04-101</t>
  </si>
  <si>
    <t>COOL ECHO                                               Blk 123, Bedok North #01-150  Singapore</t>
  </si>
  <si>
    <t>TEL:97536053                                          10, Tuas Ave 3 Singapore 639409</t>
  </si>
  <si>
    <t>WID#108</t>
  </si>
  <si>
    <t>白丽美容插花学院                                   Blk 635, Ang Mo Kio #01-5113 Singapore</t>
  </si>
  <si>
    <t>#01-5113   Blk 635                        AMK</t>
  </si>
  <si>
    <t>30 DAYS</t>
  </si>
  <si>
    <t>F/MAN</t>
  </si>
  <si>
    <t>TEL: 83824983                                          Blk 399, Taman Jurong  Shopping Centre. #01-16 Singapore 610399</t>
  </si>
  <si>
    <t>TEL: 96254282                                        Blk 724 Ang Mo Kio Central 2 Food Centre   #01-07 Singapore 560724</t>
  </si>
  <si>
    <t>TEL:96834808                                         Blk 285, Yishun #01-08 Singapore</t>
  </si>
  <si>
    <t>TEL: 91858264                                       Blk 883 , Woodlands North Plaza. Woodlands Street 82.  #01-492 Singapore 730883</t>
  </si>
  <si>
    <t xml:space="preserve"> Blk. 448   #01-29</t>
  </si>
  <si>
    <t>5 KGS</t>
  </si>
  <si>
    <t>Tel: 96976466</t>
  </si>
  <si>
    <t>Discount</t>
  </si>
  <si>
    <t>GST</t>
  </si>
  <si>
    <t>After Discount</t>
  </si>
  <si>
    <t>SAME AS Blk 190</t>
  </si>
  <si>
    <t>same as 105 HG #02-43</t>
  </si>
  <si>
    <t>Coconut Sugar Syrup 椰糖汁</t>
  </si>
  <si>
    <t>Coconut Sugar Syrup 椰糖汁G</t>
  </si>
  <si>
    <t>500gm x 20包</t>
  </si>
  <si>
    <t>12.5KGx 2PKT</t>
  </si>
  <si>
    <t>(600gm x 20Pkt)箱</t>
  </si>
  <si>
    <t>AAA                                                          Blk.15  Woodlands Loop #04-55 Singapore 738322</t>
  </si>
  <si>
    <t>18-11-2019</t>
  </si>
  <si>
    <t>TEL: 93697823                                         Blk 453  Ang Mo Kio Ave 10              #01-35 Singapore 560453</t>
  </si>
  <si>
    <t>CMPB</t>
  </si>
  <si>
    <t>CMPB                                                              3 Depot Road Singapore 109680</t>
  </si>
  <si>
    <t>Fungus 黄木耳</t>
  </si>
  <si>
    <t>500 GM/BAG</t>
  </si>
  <si>
    <t>BAG</t>
  </si>
  <si>
    <t>amk        Blk 215        #01-903</t>
  </si>
  <si>
    <t>50 GMS</t>
  </si>
  <si>
    <t>25 kgs</t>
  </si>
  <si>
    <t>Dessert House                                       Taman Jurong Market &amp; Food Centre. Blk. 3  Yung Sheng Road  #03-158 Singapore 618499</t>
  </si>
  <si>
    <t>WID#109</t>
  </si>
  <si>
    <t xml:space="preserve">Whampoa Soya Bean                            Blk 221B Boon Lay Hawker Centre. #01-133 </t>
  </si>
  <si>
    <t>TEL:93884525</t>
  </si>
  <si>
    <t>PACKED TOMATO SAUCE</t>
  </si>
  <si>
    <t>顺发冷热清汤                                        Blk 190B Rivervale Drive                    #08-960 Singapore 542190</t>
  </si>
  <si>
    <t>WID#110</t>
  </si>
  <si>
    <t>WID#112</t>
  </si>
  <si>
    <t>NGAI FONG FOODSTUFF TRADING                 Blk 15, Woodlands Loop #01-51 Singapore 738322</t>
  </si>
  <si>
    <t>Price</t>
  </si>
  <si>
    <t>Item</t>
  </si>
  <si>
    <t>TEL: 97397594</t>
  </si>
  <si>
    <t>My Daily Juice                                            The Sail, 2 Marina Boulevard           #B1-08A Singapore 018987</t>
  </si>
  <si>
    <t>TEL: 91824490</t>
  </si>
  <si>
    <t>25 KGS</t>
  </si>
  <si>
    <t>MICRON GATE 5 CARTEEN</t>
  </si>
  <si>
    <t>13-02-2020</t>
  </si>
  <si>
    <t>2.5 KGS</t>
  </si>
  <si>
    <t>3 KG</t>
  </si>
  <si>
    <t>5 KG</t>
  </si>
  <si>
    <t>Home</t>
  </si>
  <si>
    <t>Blk 242, #06-1124</t>
  </si>
  <si>
    <t>Tel: 93358958</t>
  </si>
  <si>
    <t>Yishun Street 9. Singapore.</t>
  </si>
  <si>
    <t>24-02-2020</t>
  </si>
  <si>
    <t>AMK     Blk 628       #01-69</t>
  </si>
  <si>
    <t>WID#113</t>
  </si>
  <si>
    <t>WID#114</t>
  </si>
  <si>
    <t>Granny's Pancake 面煎糕                     Hong Lim Market &amp; Food Centre. Blk 531 Upper Cross Street   #02-68 Singapore 051531</t>
  </si>
  <si>
    <t>THE SUGARCANE PLANT #01-30</t>
  </si>
  <si>
    <t>WID#115</t>
  </si>
  <si>
    <t>Packed</t>
  </si>
  <si>
    <t>WID#116</t>
  </si>
  <si>
    <t>#01-14 Changi Village</t>
  </si>
  <si>
    <t>生记</t>
  </si>
  <si>
    <t>下批货起价格变更</t>
  </si>
  <si>
    <t>WID#118</t>
  </si>
  <si>
    <t>Mei Ling #02-47 Ibu Minang</t>
  </si>
  <si>
    <t>20/5/2020</t>
  </si>
  <si>
    <t>500 GMS</t>
  </si>
  <si>
    <t>下批货起价</t>
  </si>
  <si>
    <t>Lemongrass Ginger Concentrate Juice 香茅姜汁</t>
  </si>
  <si>
    <t>Passion Fruit Concentrate Juice 百香果汁</t>
  </si>
  <si>
    <t>Citrus Plum Concentrate Juice 柑桔梅子汁</t>
  </si>
  <si>
    <t>7月1日起调整价钱</t>
  </si>
  <si>
    <t>Anglo-Chinese School                                            121, Dover Road. Singapore 139656</t>
  </si>
  <si>
    <t>PACKED</t>
  </si>
  <si>
    <t>利发                                                           Blk.210  Toa Payoh Lorong 8                              #01-80 Singapore 310210</t>
  </si>
  <si>
    <t>SODA 苏打粉 (KEE)</t>
  </si>
  <si>
    <t>德利           Blk 159    #02-28</t>
  </si>
  <si>
    <t>Granny - Choo Say Hiang</t>
  </si>
  <si>
    <t>Attn: Susan</t>
  </si>
  <si>
    <t>MFC  Food &amp; Press Pte Ltd                            Bukit Timah Plaze. 1, Jalan Anak Bukit #B1-47  Singpaore  588996</t>
  </si>
  <si>
    <t>8月1日起调整价钱</t>
  </si>
  <si>
    <t>Tel: 90172693</t>
  </si>
  <si>
    <t>9月1日起调整价钱</t>
  </si>
  <si>
    <t>31-08-2020</t>
  </si>
  <si>
    <t>TSM</t>
  </si>
  <si>
    <t>1 KGS</t>
  </si>
  <si>
    <t>15-09-2020</t>
  </si>
  <si>
    <t>23-09-2020</t>
  </si>
  <si>
    <t>Magic Pop Ball - Mango</t>
  </si>
  <si>
    <t>Taiwan</t>
  </si>
  <si>
    <t>China</t>
  </si>
  <si>
    <t>Singapore</t>
  </si>
  <si>
    <t>Japan</t>
  </si>
  <si>
    <t>P003A</t>
  </si>
  <si>
    <t>100 GMS</t>
  </si>
  <si>
    <t>(565gm x 6)/箱</t>
  </si>
  <si>
    <t>VANILLIN　班兰素</t>
  </si>
  <si>
    <t>POLAR</t>
  </si>
  <si>
    <t>500 GMS/CAN</t>
  </si>
  <si>
    <t xml:space="preserve">PLAIN FLOUR 面粉 </t>
  </si>
  <si>
    <t>THREE EAGLE</t>
  </si>
  <si>
    <t>1KG X 10</t>
  </si>
  <si>
    <t>R084</t>
  </si>
  <si>
    <t>MIXED SAGO 混色西谷</t>
  </si>
  <si>
    <t xml:space="preserve">300GM </t>
  </si>
  <si>
    <t>R085</t>
  </si>
  <si>
    <t>CHINSU FISH SAUCE 金素味露</t>
  </si>
  <si>
    <t>500ML</t>
  </si>
  <si>
    <t>R086</t>
  </si>
  <si>
    <t>VN TAM THAI TU SOY SAUCE 越南酱青</t>
  </si>
  <si>
    <t>R087</t>
  </si>
  <si>
    <t>VN SAFOCO RICE PAPER越 南米皮</t>
  </si>
  <si>
    <t>500GM X 10</t>
  </si>
  <si>
    <t>R088</t>
  </si>
  <si>
    <t>VN SAFOCO FRESH RICE VERMICELL沙波歌米粉</t>
  </si>
  <si>
    <t>300GM X 15</t>
  </si>
  <si>
    <t>R089</t>
  </si>
  <si>
    <t>VIETNAM VINA BANH NOODLE 越南粿条</t>
  </si>
  <si>
    <t>BLUE STRAP</t>
  </si>
  <si>
    <t>400GM X 20</t>
  </si>
  <si>
    <t>R090</t>
  </si>
  <si>
    <t>WHITE PEPPER POWDER白胡椒粉</t>
  </si>
  <si>
    <t>25GM X 12</t>
  </si>
  <si>
    <t>R091</t>
  </si>
  <si>
    <t>FINE PINK SALT 喜马拉雅粉盐</t>
  </si>
  <si>
    <t>R092</t>
  </si>
  <si>
    <t>TAMARIND 亚参</t>
  </si>
  <si>
    <t>70 X 300GM</t>
  </si>
  <si>
    <t>R093</t>
  </si>
  <si>
    <t>YELLOW Rock Suger黄冰糖</t>
  </si>
  <si>
    <t>400GM X 50</t>
  </si>
  <si>
    <t>R094</t>
  </si>
  <si>
    <t>HUA TIAO WINE花彫酒</t>
  </si>
  <si>
    <t xml:space="preserve">640ML X 12 </t>
  </si>
  <si>
    <t>R095</t>
  </si>
  <si>
    <t>BLACK SESAME SEED. 黑芝麻</t>
  </si>
  <si>
    <t>200 GMS</t>
  </si>
  <si>
    <t>R096</t>
  </si>
  <si>
    <t>WHITE SEASAME 白芝麻</t>
  </si>
  <si>
    <t>9 MM</t>
  </si>
  <si>
    <t>Golden Pearl -黄金 珍珠</t>
  </si>
  <si>
    <t>R099</t>
  </si>
  <si>
    <t>10 PKTX 400GMS</t>
  </si>
  <si>
    <t>R100</t>
  </si>
  <si>
    <t>HAO HAO INSTANT SPICY NOODLE</t>
  </si>
  <si>
    <t>75 GM X 30</t>
  </si>
  <si>
    <t>Country of Origin</t>
  </si>
  <si>
    <t>FJ</t>
  </si>
  <si>
    <t>T1</t>
  </si>
  <si>
    <t>AUSTRALIA</t>
  </si>
  <si>
    <t>SW</t>
  </si>
  <si>
    <t>HOLLAND</t>
  </si>
  <si>
    <t>AAA</t>
  </si>
  <si>
    <t>NW (2.1:0.9) 3 kgs</t>
  </si>
  <si>
    <t>WID#119</t>
  </si>
  <si>
    <t>BLACK BEAN</t>
  </si>
  <si>
    <t>SOYABEAN</t>
  </si>
  <si>
    <t>M001B</t>
  </si>
  <si>
    <t>M001C</t>
  </si>
  <si>
    <t>500g x 24 pkt/箱</t>
  </si>
  <si>
    <t>Lai Heng          Blk 15             #04-22</t>
  </si>
  <si>
    <t>Peaches Halves 桃畔</t>
  </si>
  <si>
    <t>South Africa</t>
  </si>
  <si>
    <t>12can x 825G/Carton</t>
  </si>
  <si>
    <t>Hosen</t>
  </si>
  <si>
    <t>NESTLE</t>
  </si>
  <si>
    <t>BOTTLE</t>
  </si>
  <si>
    <t>140 gms x 10 pkt</t>
  </si>
  <si>
    <t>27-10-2020</t>
  </si>
  <si>
    <t>ATTN: VINCENT</t>
  </si>
  <si>
    <t>WID#120</t>
  </si>
  <si>
    <t>Carton</t>
  </si>
  <si>
    <t>Blk 44 Owen Road</t>
  </si>
  <si>
    <t>1 kgs</t>
  </si>
  <si>
    <t>Busy</t>
  </si>
  <si>
    <t>(1 kg x 12)/1 carton</t>
  </si>
  <si>
    <t>CrawFish - Garlic Flavor</t>
  </si>
  <si>
    <t>Wheat Starch 澄面粉</t>
  </si>
  <si>
    <t>500 gm x 10</t>
  </si>
  <si>
    <t xml:space="preserve">Joo Chiat Road #01-1127 </t>
  </si>
  <si>
    <t>GROUP SALES (NKT)</t>
  </si>
  <si>
    <t>WID#121</t>
  </si>
  <si>
    <t>WID#122</t>
  </si>
  <si>
    <t>ACHAR</t>
  </si>
  <si>
    <t>YAM CAKE</t>
  </si>
  <si>
    <t>18-11-2020</t>
  </si>
  <si>
    <t>2 KGS</t>
  </si>
  <si>
    <t>10 PCS/SETS</t>
  </si>
  <si>
    <t xml:space="preserve">FRIEND </t>
  </si>
  <si>
    <t>4 KGS</t>
  </si>
  <si>
    <t>SUN KEE</t>
  </si>
  <si>
    <t>6 Can X A10</t>
  </si>
  <si>
    <t>25-11-2020</t>
  </si>
  <si>
    <t>600ML/24BTL</t>
  </si>
  <si>
    <t>Richton Café Pte Ltd                            Blk 476A Pasis Ris Drive 6,                                    #01-600. Singapore 510476</t>
  </si>
  <si>
    <t>WID#123</t>
  </si>
  <si>
    <t>BLK 682C, WOODLAND DRIVE 73</t>
  </si>
  <si>
    <t>#11-241 Singapore 733682</t>
  </si>
  <si>
    <t>TYC</t>
  </si>
  <si>
    <t>LIM</t>
  </si>
  <si>
    <t>RICE BALL (WHITE - RED BEAN 红豆)</t>
  </si>
  <si>
    <t>Bank-Branch No : 7375-446</t>
  </si>
  <si>
    <t>PAYNOW: UEN201914330C</t>
  </si>
  <si>
    <t>R047B</t>
  </si>
  <si>
    <t>#12-482</t>
  </si>
  <si>
    <t>Blk 427, Clementi Avenue 3</t>
  </si>
  <si>
    <t>TEL: 81233671  (Home)</t>
  </si>
  <si>
    <t>Mei Cai Kou Po</t>
  </si>
  <si>
    <t xml:space="preserve">Taro Kong Bak Pau </t>
  </si>
  <si>
    <t>750 gm</t>
  </si>
  <si>
    <t>300 gm</t>
  </si>
  <si>
    <t>SHRIMP BEANCURD ROLL</t>
  </si>
  <si>
    <t>10 PCS/PKT</t>
  </si>
  <si>
    <t>WID#125</t>
  </si>
  <si>
    <t>Yishun Blk 925 (Toa Payoh Blk 95)</t>
  </si>
  <si>
    <t>Staff price</t>
  </si>
  <si>
    <t>567 GM/CAN</t>
  </si>
  <si>
    <t>200 GM/PKT</t>
  </si>
  <si>
    <t>COST</t>
  </si>
  <si>
    <t>SELLING PRICE</t>
  </si>
  <si>
    <t>MINI SUPERIOR POT</t>
  </si>
  <si>
    <t>FISH MAN SOUP</t>
  </si>
  <si>
    <t>800G/BOX</t>
  </si>
  <si>
    <t>Thailand</t>
  </si>
  <si>
    <t>Threeflower</t>
  </si>
  <si>
    <t>3.5 KGS</t>
  </si>
  <si>
    <t>WID#126</t>
  </si>
  <si>
    <t>Liquorice 甘草</t>
  </si>
  <si>
    <t>Chrysanthemum 菊花</t>
  </si>
  <si>
    <t>Ginseng 人参</t>
  </si>
  <si>
    <t>Honeysuckle 金银花</t>
  </si>
  <si>
    <t>Fritillary 川贝</t>
  </si>
  <si>
    <t>Sweet Almond 南杏</t>
  </si>
  <si>
    <t>Bitter Almond 北杏</t>
  </si>
  <si>
    <t>Black Date 黑枣</t>
  </si>
  <si>
    <t>China Barley 中国薏米</t>
  </si>
  <si>
    <t>Smoke Plum 乌梅</t>
  </si>
  <si>
    <t>Premium Figs 无花果</t>
  </si>
  <si>
    <t>Flatted Orange 橘饼</t>
  </si>
  <si>
    <t>BLK 229, SIMEI ST. 4</t>
  </si>
  <si>
    <t>#04-196 SINGAPORE 520229</t>
  </si>
  <si>
    <t>800 GMS</t>
  </si>
  <si>
    <t>WID#127</t>
  </si>
  <si>
    <t>Antea Blk 95, Toa Payoh</t>
  </si>
  <si>
    <t>Antea &amp; Fruits                                        Block 95  Toa Payoh Lorong 4         #01-50 Singapore 310095</t>
  </si>
  <si>
    <t xml:space="preserve">T.P.T. Fruit Juice                                     BLK 925, Yishun Central #01-239 Singapore                         </t>
  </si>
  <si>
    <t>Siang Kee Traditional Crytal Pau        Blk 44, Owen Road #01-315 Singapore 210044</t>
  </si>
  <si>
    <t>pkt</t>
  </si>
  <si>
    <t>KATONG GIRLS SCHOOL</t>
  </si>
  <si>
    <t>4月1日起调整价钱</t>
  </si>
  <si>
    <t>Stock</t>
  </si>
  <si>
    <t>(350gm x 24Pkt)/Carton</t>
  </si>
  <si>
    <t>FLYING MAN</t>
  </si>
  <si>
    <t>RE-PACK</t>
  </si>
  <si>
    <t>(500gm x 20Pkt) Ctn</t>
  </si>
  <si>
    <t>500gm/pkt x 50</t>
  </si>
  <si>
    <t>JALAN BESAR DESSERT STALL</t>
  </si>
  <si>
    <t xml:space="preserve">TEL: 91157407 </t>
  </si>
  <si>
    <t>Monthly/paynow</t>
  </si>
  <si>
    <t>Paynow</t>
  </si>
  <si>
    <t>15 KGS/CTN</t>
  </si>
  <si>
    <t>10 KGS/CTN</t>
  </si>
  <si>
    <t>150g X 40 PKT</t>
  </si>
  <si>
    <t>150g X 60 PKT</t>
  </si>
  <si>
    <t>3KGS X 10PKT</t>
  </si>
  <si>
    <t>3 KGS X 6 PKTS</t>
  </si>
  <si>
    <t>6 kgs X 6 PKTS</t>
  </si>
  <si>
    <t>ONLY FOR 416</t>
  </si>
  <si>
    <t>PURPLE Sweet Potato 番薯</t>
  </si>
  <si>
    <t>M1001</t>
  </si>
  <si>
    <t>M1001A</t>
  </si>
  <si>
    <t>M1001B</t>
  </si>
  <si>
    <t>M1002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</si>
  <si>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</si>
  <si>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</si>
  <si>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</si>
  <si>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</si>
  <si>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</si>
  <si>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</si>
  <si>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</si>
  <si>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</si>
  <si>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</si>
  <si>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</si>
  <si>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</si>
  <si>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</si>
  <si>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</si>
  <si>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</si>
  <si>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</si>
  <si>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</si>
  <si>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</si>
  <si>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</si>
  <si>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</si>
  <si>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</si>
  <si>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</si>
  <si>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</si>
  <si>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</si>
  <si>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</si>
  <si>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</si>
  <si>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</si>
  <si>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</si>
  <si>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</si>
  <si>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</si>
  <si>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</si>
  <si>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</si>
  <si>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</si>
  <si>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</si>
  <si>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</si>
  <si>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</si>
  <si>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P3001</t>
  </si>
  <si>
    <t>P5001</t>
  </si>
  <si>
    <t>P4001</t>
  </si>
  <si>
    <t>P6001</t>
  </si>
  <si>
    <t>P7001</t>
  </si>
  <si>
    <t>P8001</t>
  </si>
  <si>
    <t>P2001</t>
  </si>
  <si>
    <t>M1002A</t>
  </si>
  <si>
    <t>P2001A</t>
  </si>
  <si>
    <t>P2001B</t>
  </si>
  <si>
    <t>P2002</t>
  </si>
  <si>
    <t>P2002A</t>
  </si>
  <si>
    <t>P2003</t>
  </si>
  <si>
    <t>P2003A</t>
  </si>
  <si>
    <t>P2002B</t>
  </si>
  <si>
    <t>P2004</t>
  </si>
  <si>
    <t>P2004A</t>
  </si>
  <si>
    <t>P2005</t>
  </si>
  <si>
    <t>P2006</t>
  </si>
  <si>
    <t>P2006A</t>
  </si>
  <si>
    <t>P2006B</t>
  </si>
  <si>
    <t>P2007</t>
  </si>
  <si>
    <t>P2007A</t>
  </si>
  <si>
    <t>P2008</t>
  </si>
  <si>
    <t>P2007B</t>
  </si>
  <si>
    <t>FOR 232 ONLY</t>
  </si>
  <si>
    <t>FOR KOUFU ONLY</t>
  </si>
  <si>
    <t>P2008A</t>
  </si>
  <si>
    <t>P2009</t>
  </si>
  <si>
    <t>P2010</t>
  </si>
  <si>
    <t>P2010A</t>
  </si>
  <si>
    <t>P2011</t>
  </si>
  <si>
    <t>P2011A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</si>
  <si>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</si>
  <si>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</si>
  <si>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</si>
  <si>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</si>
  <si>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</si>
  <si>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</si>
  <si>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</si>
  <si>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</si>
  <si>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</si>
  <si>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</si>
  <si>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</si>
  <si>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</si>
  <si>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P2019</t>
  </si>
  <si>
    <t>25 kg</t>
  </si>
  <si>
    <t>WORLDWIDE</t>
  </si>
  <si>
    <t>P2019A</t>
  </si>
  <si>
    <t>P2020</t>
  </si>
  <si>
    <t>P2020A</t>
  </si>
  <si>
    <t>P2021</t>
  </si>
  <si>
    <t>P2022</t>
  </si>
  <si>
    <t>Glutinous FLOUR 糯米粉</t>
  </si>
  <si>
    <t>P2023</t>
  </si>
  <si>
    <t>P2024</t>
  </si>
  <si>
    <t>P2025</t>
  </si>
  <si>
    <t>CAN</t>
  </si>
  <si>
    <t>P2027</t>
  </si>
  <si>
    <t>P2028</t>
  </si>
  <si>
    <t>P3001A</t>
  </si>
  <si>
    <t>P3001B</t>
  </si>
  <si>
    <t>P3001C</t>
  </si>
  <si>
    <t>P3002</t>
  </si>
  <si>
    <t>P3003</t>
  </si>
  <si>
    <t>P3004</t>
  </si>
  <si>
    <t>P3004A</t>
  </si>
  <si>
    <t>P3005</t>
  </si>
  <si>
    <t>P3006</t>
  </si>
  <si>
    <t>P3005A</t>
  </si>
  <si>
    <t>P3005B</t>
  </si>
  <si>
    <t>P3005C</t>
  </si>
  <si>
    <t>P3005D</t>
  </si>
  <si>
    <t>P3006A</t>
  </si>
  <si>
    <t>P3006B</t>
  </si>
  <si>
    <t>P3006C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</si>
  <si>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</si>
  <si>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</si>
  <si>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</si>
  <si>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</si>
  <si>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</si>
  <si>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</si>
  <si>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</si>
  <si>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</si>
  <si>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</si>
  <si>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</si>
  <si>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</si>
  <si>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</si>
  <si>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</si>
  <si>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</si>
  <si>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</si>
  <si>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</si>
  <si>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</si>
  <si>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</si>
  <si>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</si>
  <si>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</si>
  <si>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</si>
  <si>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</si>
  <si>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</si>
  <si>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</si>
  <si>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</si>
  <si>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</si>
  <si>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</si>
  <si>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</si>
  <si>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</si>
  <si>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</si>
  <si>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</si>
  <si>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</si>
  <si>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</si>
  <si>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</si>
  <si>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</si>
  <si>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</si>
  <si>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</si>
  <si>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</si>
  <si>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</si>
  <si>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P3020A</t>
  </si>
  <si>
    <t>P3021</t>
  </si>
  <si>
    <t>P3023</t>
  </si>
  <si>
    <t>P3024</t>
  </si>
  <si>
    <t>P3024A</t>
  </si>
  <si>
    <t>P3025</t>
  </si>
  <si>
    <t>P3025A</t>
  </si>
  <si>
    <t>P3026</t>
  </si>
  <si>
    <t>P3027</t>
  </si>
  <si>
    <t>P3027A</t>
  </si>
  <si>
    <t>P3028</t>
  </si>
  <si>
    <t>P3029</t>
  </si>
  <si>
    <t>P3030</t>
  </si>
  <si>
    <t>P3030A</t>
  </si>
  <si>
    <t>P3031</t>
  </si>
  <si>
    <t>P3031A</t>
  </si>
  <si>
    <t>P3032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</si>
  <si>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</si>
  <si>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</si>
  <si>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</si>
  <si>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</si>
  <si>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</si>
  <si>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</si>
  <si>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</si>
  <si>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</si>
  <si>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</si>
  <si>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</si>
  <si>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P3041</t>
  </si>
  <si>
    <t>P3042</t>
  </si>
  <si>
    <t>P3043</t>
  </si>
  <si>
    <t>500 GM</t>
  </si>
  <si>
    <t>P3044</t>
  </si>
  <si>
    <t>P3045</t>
  </si>
  <si>
    <t>P3046</t>
  </si>
  <si>
    <t>P3047</t>
  </si>
  <si>
    <t>P3048</t>
  </si>
  <si>
    <t>P3049</t>
  </si>
  <si>
    <t>P3050</t>
  </si>
  <si>
    <t>P3051</t>
  </si>
  <si>
    <t>P3052</t>
  </si>
  <si>
    <t>P3053</t>
  </si>
  <si>
    <t>P3054</t>
  </si>
  <si>
    <t>P3055</t>
  </si>
  <si>
    <t>P3056</t>
  </si>
  <si>
    <t>P3057</t>
  </si>
  <si>
    <t>P3058</t>
  </si>
  <si>
    <t>P4001A</t>
  </si>
  <si>
    <t>P4002</t>
  </si>
  <si>
    <t>P4002A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</si>
  <si>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</si>
  <si>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</si>
  <si>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</si>
  <si>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</si>
  <si>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</si>
  <si>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</si>
  <si>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</si>
  <si>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</si>
  <si>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</si>
  <si>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</si>
  <si>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</si>
  <si>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</si>
  <si>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</si>
  <si>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P4010</t>
  </si>
  <si>
    <t>P4011</t>
  </si>
  <si>
    <t>P4012</t>
  </si>
  <si>
    <t>P4013</t>
  </si>
  <si>
    <t>P4014</t>
  </si>
  <si>
    <t>P4014A</t>
  </si>
  <si>
    <t>P4015</t>
  </si>
  <si>
    <t>P4015A</t>
  </si>
  <si>
    <t>P4016</t>
  </si>
  <si>
    <t>P4016A</t>
  </si>
  <si>
    <t>P4017</t>
  </si>
  <si>
    <t>P4017A</t>
  </si>
  <si>
    <t>P4018</t>
  </si>
  <si>
    <t>P4018A</t>
  </si>
  <si>
    <t>P4019</t>
  </si>
  <si>
    <t>P4019A</t>
  </si>
  <si>
    <t>P4020</t>
  </si>
  <si>
    <t>P4020A</t>
  </si>
  <si>
    <t>P4021</t>
  </si>
  <si>
    <t>P4022</t>
  </si>
  <si>
    <t>P4023</t>
  </si>
  <si>
    <t>P4024</t>
  </si>
  <si>
    <t>P4025</t>
  </si>
  <si>
    <t>P4026</t>
  </si>
  <si>
    <t>P4027</t>
  </si>
  <si>
    <t>P4028</t>
  </si>
  <si>
    <t>P4029</t>
  </si>
  <si>
    <t>P4030</t>
  </si>
  <si>
    <t>P4031</t>
  </si>
  <si>
    <t>P4032</t>
  </si>
  <si>
    <t>P4033</t>
  </si>
  <si>
    <t>P4034</t>
  </si>
  <si>
    <t>P4030A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</si>
  <si>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</si>
  <si>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</si>
  <si>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</si>
  <si>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</si>
  <si>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</si>
  <si>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</si>
  <si>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</si>
  <si>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</si>
  <si>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</si>
  <si>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P4044</t>
  </si>
  <si>
    <t>P5001A</t>
  </si>
  <si>
    <t>P5002</t>
  </si>
  <si>
    <t>P5002A</t>
  </si>
  <si>
    <t>P5003</t>
  </si>
  <si>
    <t>P5003A</t>
  </si>
  <si>
    <t>P5004</t>
  </si>
  <si>
    <t>P5005</t>
  </si>
  <si>
    <t>P5005A</t>
  </si>
  <si>
    <t>P5005B</t>
  </si>
  <si>
    <t>P5006</t>
  </si>
  <si>
    <t>P5007</t>
  </si>
  <si>
    <t>P5008</t>
  </si>
  <si>
    <t>P5009</t>
  </si>
  <si>
    <t>P5010</t>
  </si>
  <si>
    <t>P5011</t>
  </si>
  <si>
    <t>P5011A</t>
  </si>
  <si>
    <t>P5012</t>
  </si>
  <si>
    <t>P5013</t>
  </si>
  <si>
    <t>P6002</t>
  </si>
  <si>
    <t>P6003</t>
  </si>
  <si>
    <t>P6004</t>
  </si>
  <si>
    <t>P6005</t>
  </si>
  <si>
    <t>P6006</t>
  </si>
  <si>
    <t>P6007</t>
  </si>
  <si>
    <t>P6008</t>
  </si>
  <si>
    <t>P6009</t>
  </si>
  <si>
    <t>P6010</t>
  </si>
  <si>
    <t>P6011</t>
  </si>
  <si>
    <t>P6012</t>
  </si>
  <si>
    <t>P6013</t>
  </si>
  <si>
    <t>P6014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</si>
  <si>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</si>
  <si>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</si>
  <si>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</si>
  <si>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</si>
  <si>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</si>
  <si>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</si>
  <si>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</si>
  <si>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</si>
  <si>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</si>
  <si>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</si>
  <si>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</si>
  <si>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</si>
  <si>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</si>
  <si>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</si>
  <si>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</si>
  <si>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</si>
  <si>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</si>
  <si>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</si>
  <si>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</si>
  <si>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</si>
  <si>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P8002</t>
  </si>
  <si>
    <t>P8003</t>
  </si>
  <si>
    <t>P8004</t>
  </si>
  <si>
    <t>P8005</t>
  </si>
  <si>
    <t>P8006</t>
  </si>
  <si>
    <t>P8007</t>
  </si>
  <si>
    <t>P8008</t>
  </si>
  <si>
    <t>P8009</t>
  </si>
  <si>
    <t>P8010</t>
  </si>
  <si>
    <t>P8011</t>
  </si>
  <si>
    <t>P8012</t>
  </si>
  <si>
    <t>P8013</t>
  </si>
  <si>
    <t>P8014</t>
  </si>
  <si>
    <t>P8015</t>
  </si>
  <si>
    <t>P8016</t>
  </si>
  <si>
    <t>P8017</t>
  </si>
  <si>
    <t>P4045</t>
  </si>
  <si>
    <t>Honey Longan syrup</t>
  </si>
  <si>
    <t>P7022</t>
  </si>
  <si>
    <t>450ml</t>
  </si>
  <si>
    <t>P2008B</t>
  </si>
  <si>
    <t>Durian</t>
  </si>
  <si>
    <t>P7023</t>
  </si>
  <si>
    <t>P7024</t>
  </si>
  <si>
    <t>1 lt/btl</t>
  </si>
  <si>
    <t>P5007A</t>
  </si>
  <si>
    <t>P2019B</t>
  </si>
  <si>
    <t>150G/PKT</t>
  </si>
  <si>
    <t>Sweetened Creamer 练奶</t>
  </si>
  <si>
    <t>Cost of Sales</t>
  </si>
  <si>
    <t>Cash/Monthly</t>
  </si>
  <si>
    <t>水            Blk 159   #02-37</t>
  </si>
  <si>
    <t>M1023A</t>
  </si>
  <si>
    <t>1 KG/PKT</t>
  </si>
  <si>
    <t>M1024A</t>
  </si>
  <si>
    <t>Tel: 84307735</t>
  </si>
  <si>
    <t>P3059</t>
  </si>
  <si>
    <t>P3060</t>
  </si>
  <si>
    <t>P3061</t>
  </si>
  <si>
    <t>Sugari</t>
  </si>
  <si>
    <t>Red Tea Jelly Powder</t>
  </si>
  <si>
    <t>P2029</t>
  </si>
  <si>
    <t>Green Tea Powder</t>
  </si>
  <si>
    <t>P1009</t>
  </si>
  <si>
    <t>P1010</t>
  </si>
  <si>
    <t>P1006A</t>
  </si>
  <si>
    <t>3 KGS</t>
  </si>
  <si>
    <t>7月15日起调整价钱</t>
  </si>
  <si>
    <t xml:space="preserve"> AMK      Blk 409       #01-18</t>
  </si>
  <si>
    <t>Ms Tay Self collection</t>
  </si>
  <si>
    <t>WID#128</t>
  </si>
  <si>
    <t>Ms Tay  Tel: 98396384</t>
  </si>
  <si>
    <t>P3007B</t>
  </si>
  <si>
    <t>P4030B</t>
  </si>
  <si>
    <t>NET WT: 500 gms</t>
  </si>
  <si>
    <t>P2030</t>
  </si>
  <si>
    <t xml:space="preserve">645T Cup Cafe                                       Blk 16 Bedok South Road #01-06 Singapore 460016                   </t>
  </si>
  <si>
    <t>P2007C</t>
  </si>
  <si>
    <t>35gms x 10 pkt</t>
  </si>
  <si>
    <t>WID#129</t>
  </si>
  <si>
    <t>M1030</t>
  </si>
  <si>
    <t>M1031</t>
  </si>
  <si>
    <t>WID#130</t>
  </si>
  <si>
    <t>麵包店                                                    Block 628 Senja Road  44 #01-03  Singapore 673528</t>
  </si>
  <si>
    <t>Tel: 93670105</t>
  </si>
  <si>
    <t>M1003R</t>
  </si>
  <si>
    <t>M1014A</t>
  </si>
  <si>
    <t>WID#132</t>
  </si>
  <si>
    <t>MOKATA- TECK WAH</t>
  </si>
  <si>
    <t>P2019C</t>
  </si>
  <si>
    <t>P2011D</t>
  </si>
  <si>
    <t>M1032</t>
  </si>
  <si>
    <t>150 GM</t>
  </si>
  <si>
    <t>M1033</t>
  </si>
  <si>
    <t>M1034</t>
  </si>
  <si>
    <t>200 GM</t>
  </si>
  <si>
    <t>M1002R</t>
  </si>
  <si>
    <t>BLACK COLOUR</t>
  </si>
  <si>
    <t>26-10-2021</t>
  </si>
  <si>
    <t>BOONLAY #01-133</t>
  </si>
  <si>
    <t>P2031</t>
  </si>
  <si>
    <t>M1033A</t>
  </si>
  <si>
    <t>P4046</t>
  </si>
  <si>
    <t>100 GM</t>
  </si>
  <si>
    <t>M1032A</t>
  </si>
  <si>
    <t>WID#133</t>
  </si>
  <si>
    <t>blk 159, lorong ah soo</t>
  </si>
  <si>
    <t>P5005C</t>
  </si>
  <si>
    <t>FOR 448 ONLY</t>
  </si>
  <si>
    <t>16-11-2021</t>
  </si>
  <si>
    <t>P3032B</t>
  </si>
  <si>
    <t>P3005E</t>
  </si>
  <si>
    <t>18-11-2021</t>
  </si>
  <si>
    <t>P4047</t>
  </si>
  <si>
    <t>1月1日起调整价钱</t>
  </si>
  <si>
    <t>M1035</t>
  </si>
  <si>
    <t>15-12-2021</t>
  </si>
  <si>
    <t xml:space="preserve">ZHI YUAN COFFEE STALL                                                           Blk 151A  #01-81 Serangoon North Ave 2 Singapore </t>
  </si>
  <si>
    <t>P3035A</t>
  </si>
  <si>
    <t>31-12-2021</t>
  </si>
  <si>
    <t>1月15日起调整价钱</t>
  </si>
  <si>
    <t>Total</t>
  </si>
  <si>
    <t>BLANDED APRICOT KERNELS光中杏 (南杏)</t>
  </si>
  <si>
    <t>MS250 CONTINER SETS</t>
  </si>
  <si>
    <t>M1036</t>
  </si>
  <si>
    <t>750 GM</t>
  </si>
  <si>
    <t>P2032</t>
  </si>
  <si>
    <t>P4049</t>
  </si>
  <si>
    <t>P4048A</t>
  </si>
  <si>
    <t>P4050</t>
  </si>
  <si>
    <t>NOTE:</t>
  </si>
  <si>
    <t>3月1日起调整价钱</t>
  </si>
  <si>
    <t>WID#134</t>
  </si>
  <si>
    <t>NF FOOD PAVILION                                                                                  560 MACPHERSON ROAD SINGAPORE 368233</t>
  </si>
  <si>
    <t>NF FOOD</t>
  </si>
  <si>
    <t>P3062</t>
  </si>
  <si>
    <t>16-03-2022</t>
  </si>
  <si>
    <t>MARGIN</t>
  </si>
  <si>
    <t>AMOUNT</t>
  </si>
  <si>
    <t>M1001R</t>
  </si>
  <si>
    <t>M1036A</t>
  </si>
  <si>
    <t>M1036B</t>
  </si>
  <si>
    <t>M1036C</t>
  </si>
  <si>
    <t>M1036D</t>
  </si>
  <si>
    <t>M1036F</t>
  </si>
  <si>
    <t>P1007A</t>
  </si>
  <si>
    <t>TUB</t>
  </si>
  <si>
    <t>P2008C</t>
  </si>
  <si>
    <t>JELLY POWDER T-80 (BAI LIANG FEN)</t>
  </si>
  <si>
    <t>P2033</t>
  </si>
  <si>
    <t>3 KGS/TIN</t>
  </si>
  <si>
    <t>FISH BRAND</t>
  </si>
  <si>
    <t>TOP</t>
  </si>
  <si>
    <t>P2034</t>
  </si>
  <si>
    <t>P3030B</t>
  </si>
  <si>
    <t>170 GM</t>
  </si>
  <si>
    <t>P3037A</t>
  </si>
  <si>
    <t>7 MM</t>
  </si>
  <si>
    <t>OSMANTHUS</t>
  </si>
  <si>
    <t>COARSE SALT</t>
  </si>
  <si>
    <t>DRIED ROSELLE</t>
  </si>
  <si>
    <t>P3063</t>
  </si>
  <si>
    <t>WHITE SESAME SEEDS</t>
  </si>
  <si>
    <t>P4051</t>
  </si>
  <si>
    <t>P4052</t>
  </si>
  <si>
    <t>P4053</t>
  </si>
  <si>
    <t>P4054</t>
  </si>
  <si>
    <t>P5012A</t>
  </si>
  <si>
    <t>FLS</t>
  </si>
  <si>
    <t>500 GM/CAN</t>
  </si>
  <si>
    <t>P5014</t>
  </si>
  <si>
    <t>PAYN0W</t>
  </si>
  <si>
    <t>30/3/2022</t>
  </si>
  <si>
    <t>WID#135</t>
  </si>
  <si>
    <t>P3027B</t>
  </si>
  <si>
    <t>P3033A</t>
  </si>
  <si>
    <t>M1037</t>
  </si>
  <si>
    <t>4月15日起调整价钱</t>
  </si>
  <si>
    <t>4月14日起调整价钱</t>
  </si>
  <si>
    <t>P4055</t>
  </si>
  <si>
    <t>GOLDEN BOY</t>
  </si>
  <si>
    <t>24 CAN/CARTON</t>
  </si>
  <si>
    <t>WID#136</t>
  </si>
  <si>
    <t>Granny's Pancake 面煎糕                     WOODLAND LINK, BLK 17 #01-                 Singapore 600254</t>
  </si>
  <si>
    <t>WID#137</t>
  </si>
  <si>
    <t>NEW STALL                                                        BLK 105, HOUGANG AVE 1                                      MARKET &amp; FOOD CENTRE  #02-34              Singapore 600254</t>
  </si>
  <si>
    <t>16-04-2022</t>
  </si>
  <si>
    <t>5月1日起调整价钱</t>
  </si>
  <si>
    <t>WID#138</t>
  </si>
  <si>
    <t>FOOD MAPPING                                               587 Bukit Timah Road #02-43. Coronation Shopping Plaza Singapore 269707</t>
  </si>
  <si>
    <t>隹 发生果店                                              Ubi Ave 1,  Blk 302.    #01- 79    Singapore 400302</t>
  </si>
  <si>
    <t>P4055A</t>
  </si>
  <si>
    <t>Blk 2, Joo Chiat Complex</t>
  </si>
  <si>
    <t>传统甜品                                                   Blk 232, Ang Mo Kio                          #01-1210 Singapore 560232</t>
  </si>
  <si>
    <t>P4056</t>
  </si>
  <si>
    <t>P4056A</t>
  </si>
  <si>
    <t>MICRON CANTEEN                                    1 North Coast Drive, Micron Gate 5 Singapore 757432</t>
  </si>
  <si>
    <t>纯天然甘蔗汁                                       People's Park Food Centre,             32 New market Road   #01-1142 Singapore 050032</t>
  </si>
  <si>
    <t>6月15日起调整价钱</t>
  </si>
  <si>
    <t>30 Days / Cash</t>
  </si>
  <si>
    <t>SUN</t>
  </si>
  <si>
    <t>6月15日 至 7月15日 新糖特价 （Special Lot for SUN Sugar)</t>
  </si>
  <si>
    <t>Vietnam</t>
  </si>
  <si>
    <t>Wintermelon</t>
  </si>
  <si>
    <t>Green/青</t>
  </si>
  <si>
    <t>Yellow/黄</t>
  </si>
  <si>
    <t>WID#139</t>
  </si>
  <si>
    <t>FOR CMPB ONLY</t>
  </si>
  <si>
    <t>ONLY FOR CMPB</t>
  </si>
  <si>
    <t>WID#140</t>
  </si>
  <si>
    <t>16, Lor 35 Geylang                                            16, LORONG 35 GEYLANG ROAD          #03-01, SINGAPORE</t>
  </si>
  <si>
    <t>即日起，订单金额低于 100 新元的订单将收取送货附加费 (10 新元)。</t>
  </si>
  <si>
    <t>With immediate effect, orders under S$100 will be subject to a delivery surcharge (S$10).</t>
  </si>
  <si>
    <t>P3003A</t>
  </si>
  <si>
    <t>With immediate effect, orders under S$100 will be subjected to a delivery surcharge (S$10).</t>
  </si>
  <si>
    <t>1 CAN</t>
  </si>
  <si>
    <t>MFC Food &amp; Press Pte Ltd                 11 Tanjong Katong Road #B1-K7 Kinex Singapore 437157.</t>
  </si>
  <si>
    <t>400 GM</t>
  </si>
  <si>
    <t>Granny's Pancake 面煎糕                           270 Queen Street #01-94 Albert Centre Singapore</t>
  </si>
  <si>
    <t>WID#141</t>
  </si>
  <si>
    <t>Pin Pin Coffee Stall                                            Hong Lim Market &amp; Food Centre.        Blk 531 Upper Cross Street   #02-43 Singapore 051531</t>
  </si>
  <si>
    <t>Cash/30 days</t>
  </si>
  <si>
    <t>下批货调整价钱</t>
  </si>
  <si>
    <t>下次订单起，金额低于 100 新元的订单将收取送货附加费 (10 新元)。</t>
  </si>
  <si>
    <t>Next delivery onwards, order under S$100 will be subjected to a delivery surcharge (S$10).</t>
  </si>
  <si>
    <t>TEL: 97881171                                        Marine Terrace  Blk 57  #01-123 Singapore 440057</t>
  </si>
  <si>
    <t>P7025</t>
  </si>
  <si>
    <t>信丰 Blk 17 #01-70</t>
  </si>
  <si>
    <t>P5002B</t>
  </si>
  <si>
    <t>甜品站                                                        335 Smith Street. Chinatown Complex. #02-146 Singapore 050335.</t>
  </si>
  <si>
    <t>WID#142</t>
  </si>
  <si>
    <t>38A Margaret Drive #02-40</t>
  </si>
  <si>
    <t>Tel: 90057907</t>
  </si>
  <si>
    <t>#23-504 Singapore 142050</t>
  </si>
  <si>
    <t>Blk 50, Commonwealth Drive</t>
  </si>
  <si>
    <t>WID#143</t>
  </si>
  <si>
    <t xml:space="preserve">美林 A2                                                    38A, Margaret Drive #02-28   Singapore 142038      </t>
  </si>
  <si>
    <t>美林 A3                                                    Blk 50, Commonwealth Drive #23-504 Singapore 142050</t>
  </si>
  <si>
    <t>美林      Blk 50      #23-504</t>
  </si>
  <si>
    <t>1/8 起调整价钱</t>
  </si>
  <si>
    <t>15/8 起调整价钱</t>
  </si>
  <si>
    <t>Mr. Jia Hua                                               Blk 461, Yishun Ave 6</t>
  </si>
  <si>
    <t>1/9 起调整价钱</t>
  </si>
  <si>
    <t>Juice Man 来 来                                        Blk 11 Market &amp; Food Centre, Telok Blangah Crescent . #01-79 Singapore 090011</t>
  </si>
  <si>
    <t>P4057</t>
  </si>
  <si>
    <t>STATUE</t>
  </si>
  <si>
    <t>ex 新鲜</t>
  </si>
  <si>
    <t>SH Cafe                                                         38A Margaret Drive #02-40 Singapore 142038</t>
  </si>
  <si>
    <t>Water Chestnut 马蹄</t>
  </si>
  <si>
    <t>M1025A</t>
  </si>
  <si>
    <t>M1026A</t>
  </si>
  <si>
    <t>M1027A</t>
  </si>
  <si>
    <t>NW (1.6:0.6) 2.2 kgs</t>
  </si>
  <si>
    <t>300 GM</t>
  </si>
  <si>
    <t>Original Konjac Ball</t>
  </si>
  <si>
    <t>Black Sugar Konjac Ball</t>
  </si>
  <si>
    <t>Citrus</t>
  </si>
  <si>
    <t>For orders under S$100 will be subjected to a delivery surcharge (S$10).</t>
  </si>
  <si>
    <t>订单金额低于 100 新元的订单将收取送货附加费 (10 新元)。</t>
  </si>
  <si>
    <t>WID#144</t>
  </si>
  <si>
    <t>美林 A4                                                    38A, Margaret Drive #01-22   Singapore 142038</t>
  </si>
  <si>
    <t>下次货起，订单金额低于 100 新元的订单将收取送货附加费 (10 新元)。</t>
  </si>
  <si>
    <t>Next delivery onwards, orders under S$100 will be subject to a delivery surcharge (S$10).</t>
  </si>
  <si>
    <t>TANJONG KATONG GIRLS' SCHOOL                                                   20, Dunman Ln. Singapore 439272</t>
  </si>
  <si>
    <t>10月1日起调整价钱</t>
  </si>
  <si>
    <t>M1023B</t>
  </si>
  <si>
    <t>Roselle Puree 洛神花浆</t>
  </si>
  <si>
    <t xml:space="preserve">BLK 226. ANG MO KIO </t>
  </si>
  <si>
    <t>P5003C</t>
  </si>
  <si>
    <t>12 CAN/CARTON</t>
  </si>
  <si>
    <t>P4058</t>
  </si>
  <si>
    <t>Peaches SLICED 桃畔</t>
  </si>
  <si>
    <t>2.5 kgs</t>
  </si>
  <si>
    <t>Sree Narayana Mission                                      12, Yishun Avenue 5                            Singapore 768992</t>
  </si>
  <si>
    <t>TEL: 98193843                                        Holland Village Market and Food Centre, 1 Lorong Mambong, #01-25 Singapore 277700</t>
  </si>
  <si>
    <t>Avocado 鳄梨酱</t>
  </si>
  <si>
    <t>明吉</t>
  </si>
  <si>
    <t>TEL: 95505927</t>
  </si>
  <si>
    <t>Mei Le Yuan Desserts #01-81</t>
  </si>
  <si>
    <t>Attn: Winnie</t>
  </si>
  <si>
    <t>Tel: 91566888</t>
  </si>
  <si>
    <t>Mei Le Yuan Desserts                               85 Redhill Lane, #01-81                     Redhill Market, Singapore 150085</t>
  </si>
  <si>
    <t>顺发冷热清汤                                                 Blk 105, Hougang Ave 1                          #02-43 Market &amp; Food Centre, Singapore 530105</t>
  </si>
  <si>
    <t>128 甜品                                                    Blk 11 Market &amp; Food Centre,         Telok Blangah Crescent . #01-128         Singapore 090011</t>
  </si>
  <si>
    <t>Note: Delivery in afternoon</t>
  </si>
  <si>
    <t>TEL: 64694009                                       Blk 254 Jurong East Street 24         #01-58 Singapore 600254</t>
  </si>
  <si>
    <t>P4048</t>
  </si>
  <si>
    <t>DELIVERY SURCHARGE</t>
  </si>
  <si>
    <t>Sea Coconut 海底椰</t>
  </si>
  <si>
    <t>Fruit Cocktail 杂果</t>
  </si>
  <si>
    <t>Longan in Syrup 龙眼</t>
  </si>
  <si>
    <t>Strawberry Puree 草莓</t>
  </si>
  <si>
    <t>Guava Puree 番石榴</t>
  </si>
  <si>
    <t>Coral Weed 海草</t>
  </si>
  <si>
    <t>Chendol 浆咯</t>
  </si>
  <si>
    <t>Egg Pudding Powder</t>
  </si>
  <si>
    <t>Cold Bean Curd Powder</t>
  </si>
  <si>
    <t>Mesona Liquid (Grass Jelly)</t>
  </si>
  <si>
    <t>Wheat Flour</t>
  </si>
  <si>
    <t>Lychee in Syrup 荔枝</t>
  </si>
  <si>
    <t>Cream Corn 玉米浆</t>
  </si>
  <si>
    <t>Whole Corn 玉米粒</t>
  </si>
  <si>
    <t>Canned Red Bean 罐头红豆</t>
  </si>
  <si>
    <t>Red Bean 红豆</t>
  </si>
  <si>
    <t>Small Red Bean 小红豆</t>
  </si>
  <si>
    <t>GingKo Nut (Peel off) 白果仁</t>
  </si>
  <si>
    <t>Chin Chow 仙草</t>
  </si>
  <si>
    <t>Atap Seeds in Syrup 亚嗒子</t>
  </si>
  <si>
    <t>Sweet Potato Powder 番薯粉</t>
  </si>
  <si>
    <t>Agar Powder 菜燕粉</t>
  </si>
  <si>
    <t>Chin Chow powder 仙草粉</t>
  </si>
  <si>
    <t>Tadpole 蝌蚪</t>
  </si>
  <si>
    <t>White Glutinous Rice 白糯米</t>
  </si>
  <si>
    <t>GingKo Nut 白果粒</t>
  </si>
  <si>
    <t>Sweeten Melon Strip 冬瓜条</t>
  </si>
  <si>
    <t>Sweeten Melon Cube 冬瓜粒</t>
  </si>
  <si>
    <t>Orange Peel 陈皮</t>
  </si>
  <si>
    <t>Carnation Milk 三花淡奶水</t>
  </si>
  <si>
    <t>Evaporated Creamer 淡奶水</t>
  </si>
  <si>
    <t>GingKo Nut 白果罐</t>
  </si>
  <si>
    <t>Wheat Grass 小麦草</t>
  </si>
  <si>
    <t>CORN CREAM 玉米浆</t>
  </si>
  <si>
    <t>CORN WHOLE 玉米粒</t>
  </si>
  <si>
    <t>Coconut Sugar 椰糖</t>
  </si>
  <si>
    <t>China Turnip 沙葛</t>
  </si>
  <si>
    <t>Flavour Essence 香精</t>
  </si>
  <si>
    <t>Cash/Paynow</t>
  </si>
  <si>
    <t>P6015</t>
  </si>
  <si>
    <t>Pumpkin Gourd 金瓜</t>
  </si>
  <si>
    <t>YiFong</t>
  </si>
  <si>
    <t>Golden Champ</t>
  </si>
  <si>
    <t>P3009D</t>
  </si>
  <si>
    <t>P2035</t>
  </si>
  <si>
    <t>CHEESE MOUSSE POWDER</t>
  </si>
  <si>
    <t>M1037A</t>
  </si>
  <si>
    <t>1/12 起调整价钱</t>
  </si>
  <si>
    <t>Sugarcane Juice ICE Blended Drinks   Changi Village Hawker Centre,           2 Changi Village Road #01-16, Singapore 500002</t>
  </si>
  <si>
    <t>樟宜村甜品屋                                       Changi Village Hawker Centre,                    2 Changi Village Road   #01-08 Singapore 500002</t>
  </si>
  <si>
    <t>Changi Smoothie. Sugar Cane             Changi Village Hawker Centre, 2 Changi Village Road   #01-37 Singapore 500002</t>
  </si>
  <si>
    <t>Hock Kee Coffee                                 Blk 682 Hougang Ave 4  #01-346  Singapore 530682</t>
  </si>
  <si>
    <t>Jalan Besar Dessert Stall                     Block 166, Berseh Food Centre,         Jalan Besar #02-58,                               Singapore 208877</t>
  </si>
  <si>
    <t>美江冷热甜品</t>
  </si>
  <si>
    <t>Split Green Mung Bean 豆爽</t>
  </si>
  <si>
    <t>Fungus 黄 木耳朵</t>
  </si>
  <si>
    <t>Penang Place Restaurant &amp; Catering   Suntec  City,                                                       3 Temasek Boulevard                                                                 #02-314/315/316                         Singapore 038983</t>
  </si>
  <si>
    <t>M1038</t>
  </si>
  <si>
    <t>900 GM</t>
  </si>
  <si>
    <t>M1039</t>
  </si>
  <si>
    <t>P2002C</t>
  </si>
  <si>
    <t>42gm</t>
  </si>
  <si>
    <t>Take Away Bubble Tea Shop                             Blk 188C Bedok North St. 4 #04-90 Singapore 463188</t>
  </si>
  <si>
    <t>M1040</t>
  </si>
  <si>
    <t>1/1 起调整价钱</t>
  </si>
  <si>
    <t>ERAWAN</t>
  </si>
  <si>
    <t>600gm</t>
  </si>
  <si>
    <t>P2023A</t>
  </si>
  <si>
    <t>Granny's Pancake 面煎糕                     Hong Lim Market &amp; Food Centre.    Blk 531 Upper Cross Street, #02-39 Singapore 051531</t>
  </si>
  <si>
    <t>P4059</t>
  </si>
  <si>
    <t>Twin Five</t>
  </si>
  <si>
    <t>P3034B</t>
  </si>
  <si>
    <t>YANG YU PING                                      BLOCK 515, HOUGANG AVENUE 10, #11-181 SINGAPORE 530515</t>
  </si>
  <si>
    <t>HG 515 #11-181</t>
  </si>
  <si>
    <t>P2027A</t>
  </si>
  <si>
    <t>P5002C</t>
  </si>
  <si>
    <t>1/2 起调整价钱</t>
  </si>
  <si>
    <t>Passion Fruit Puree 百香果浆</t>
  </si>
  <si>
    <t>Sweet Potato Q - Orange 番薯粉圆</t>
  </si>
  <si>
    <t>Mini Sweet Potato Q - Orange 番薯粉圆</t>
  </si>
  <si>
    <t>Sweet Potato Q - Purple 紫番薯粉圆</t>
  </si>
  <si>
    <t>Mini Sweet Potato Q - Purple 紫番薯粉圆</t>
  </si>
  <si>
    <t>Taro Q - White 芋头粉圆</t>
  </si>
  <si>
    <t>Mini Taro Q - White 芋头粉圆</t>
  </si>
  <si>
    <t>M1041</t>
  </si>
  <si>
    <t>AD</t>
  </si>
  <si>
    <t>Royal Orchid</t>
  </si>
  <si>
    <t xml:space="preserve">CASH SALES                                                                                  Blk 151A  #01-81 Serangoon North Ave 2 Singapore </t>
  </si>
  <si>
    <t>Almond Syrup 杏仁精</t>
  </si>
  <si>
    <t>Kwang Rong</t>
  </si>
  <si>
    <t>500 ml x12 Btl/ Ctn</t>
  </si>
  <si>
    <t>1/3 起调整价钱</t>
  </si>
  <si>
    <t>REPLACEMENT</t>
  </si>
  <si>
    <t>RED TEA</t>
  </si>
  <si>
    <t>COFFEE MATE</t>
  </si>
  <si>
    <t>P3034C</t>
  </si>
  <si>
    <t>XIONG</t>
  </si>
  <si>
    <t xml:space="preserve"> AMK      Blk 409       #01-09</t>
  </si>
  <si>
    <t xml:space="preserve">KENNY MARSILING </t>
  </si>
  <si>
    <t>Uncle Jim #01-17</t>
  </si>
  <si>
    <t>Blk 188C, Bedok North St 4</t>
  </si>
  <si>
    <t>#40-90 Singapore</t>
  </si>
  <si>
    <t>TEL: 86604651</t>
  </si>
  <si>
    <t>Grass Jelly 仙草冻</t>
  </si>
  <si>
    <t>GROUNDNUT DICE PEANUT 花生</t>
  </si>
  <si>
    <t>15/4 起调整价钱</t>
  </si>
  <si>
    <t>CORN FLOUR 玉蜀黍粉</t>
  </si>
  <si>
    <t>即日起调整价钱</t>
  </si>
  <si>
    <t>Deliver after 2pm</t>
  </si>
  <si>
    <t>1/6 起调整价钱</t>
  </si>
  <si>
    <t>SWEET SMOOTHIES                                  Blk 215, Ang Mo Kio Ave 1 #01-903  Singapore 560216</t>
  </si>
  <si>
    <t>Nata 椰果芊 15mm</t>
  </si>
  <si>
    <t>Nata 椰果芊 10 x 10MM</t>
  </si>
  <si>
    <t>CASH/ PAYNOW</t>
  </si>
  <si>
    <t>Cash/PAYNOW</t>
  </si>
  <si>
    <t>P2007D</t>
  </si>
  <si>
    <t>Bai Liang Fen 白凉粉</t>
  </si>
  <si>
    <t>bag</t>
  </si>
  <si>
    <t>5 KGS/ Pkt包</t>
  </si>
  <si>
    <t>5 KGS/ Tub桶</t>
  </si>
  <si>
    <t>1 KG/ Box盒</t>
  </si>
  <si>
    <t>5 KGS/ Pkt</t>
  </si>
  <si>
    <t>Fresh Soursop Seedless 红毛榴莲(无)</t>
  </si>
  <si>
    <t>Box/盒</t>
  </si>
  <si>
    <t>Durian Puree 榴莲浆</t>
  </si>
  <si>
    <t>2 KGS/ Pkt</t>
  </si>
  <si>
    <t>Mango Puree 芒果浆</t>
  </si>
  <si>
    <t>Kiwi Syrup 奇异果</t>
  </si>
  <si>
    <t>Green Apple Jam  青苹果</t>
  </si>
  <si>
    <t>1KG/ Pkt包</t>
  </si>
  <si>
    <t>Bobo ChaCha Cubes 摩摩喳喳</t>
  </si>
  <si>
    <t>800 GM/ Bag包</t>
  </si>
  <si>
    <t>NW(2.2:0.8) 3 KGS/ Bag</t>
  </si>
  <si>
    <t>Chendol CUSTOM MADE 浆咯</t>
  </si>
  <si>
    <t>(1500:500)2KG</t>
  </si>
  <si>
    <t>Coconut Sugar Syrup 椰糖浆</t>
  </si>
  <si>
    <t>4L/ Btl支</t>
  </si>
  <si>
    <t>Coconut Suger Syrup (Pandan) 椰糖浆(班兰)</t>
  </si>
  <si>
    <t>Rice Ball (Pink - Peanut) 花生汤圆</t>
  </si>
  <si>
    <t>15 PCS/ Pkt包</t>
  </si>
  <si>
    <t>Rice Ball (White - Sesame) 芝麻汤圆</t>
  </si>
  <si>
    <t>Food Coloring - Liquid) 颜色水</t>
  </si>
  <si>
    <t>500 ML/ Btl支</t>
  </si>
  <si>
    <t>Food Coloring Powder 色粉</t>
  </si>
  <si>
    <t>F5025 Red/红</t>
  </si>
  <si>
    <t>Food Coloring 颜色水</t>
  </si>
  <si>
    <t>5 lt</t>
  </si>
  <si>
    <t>Holland</t>
  </si>
  <si>
    <t>2664 Pineapple</t>
  </si>
  <si>
    <t>Cludly</t>
  </si>
  <si>
    <t>500 ml x12 BT/ Ctn</t>
  </si>
  <si>
    <t>P7026</t>
  </si>
  <si>
    <t>Grass Jelly Flavouring</t>
  </si>
  <si>
    <t>Tosu</t>
  </si>
  <si>
    <t>TOW SUAN</t>
  </si>
  <si>
    <t>BUBOR HITAM</t>
  </si>
  <si>
    <t>BUBOR TERIGU</t>
  </si>
  <si>
    <t>Green Bean Soup 绿豆</t>
  </si>
  <si>
    <t>Red Beam Soup</t>
  </si>
  <si>
    <t>Sweet Potato Soup</t>
  </si>
  <si>
    <t>Dessert Syrup</t>
  </si>
  <si>
    <t>4 kgs</t>
  </si>
  <si>
    <t xml:space="preserve">Steam Sweet Potato </t>
  </si>
  <si>
    <t>YAM PASTE</t>
  </si>
  <si>
    <t>Rock Sugar 冰糖</t>
  </si>
  <si>
    <t>10 kgs/Ctn</t>
  </si>
  <si>
    <t>400 GMS</t>
  </si>
  <si>
    <t>HONEY ROCK SUGAR</t>
  </si>
  <si>
    <t>CHINA</t>
  </si>
  <si>
    <t>250GM X 80PKT</t>
  </si>
  <si>
    <t>Small Rock Sugar 小冰糖·</t>
  </si>
  <si>
    <t>P6002A</t>
  </si>
  <si>
    <t>SKINLESS Sweet Potato 去皮番薯</t>
  </si>
  <si>
    <t>Yam Skinless 芋头去皮</t>
  </si>
  <si>
    <t>Bonton Ginger 文冬姜</t>
  </si>
  <si>
    <t>Butterfly Peas 兰花</t>
  </si>
  <si>
    <t>P6016</t>
  </si>
  <si>
    <t>Yellow Lemon 柠檬</t>
  </si>
  <si>
    <t>P6017</t>
  </si>
  <si>
    <t>GREEN SEEDLESS LEMON</t>
  </si>
  <si>
    <t>VIETNAM</t>
  </si>
  <si>
    <t>6 CAN X A10</t>
  </si>
  <si>
    <t>P4004B</t>
  </si>
  <si>
    <t>Nata 椰果芊 5mm</t>
  </si>
  <si>
    <t>Aloe Vera 芦荟 10mm</t>
  </si>
  <si>
    <t>425 GM/CAN</t>
  </si>
  <si>
    <t>Joy</t>
  </si>
  <si>
    <t>3.3KG X 6</t>
  </si>
  <si>
    <t>Premium Natural Honey 蜂蜜</t>
  </si>
  <si>
    <t>405 gm x48 can/Ctn</t>
  </si>
  <si>
    <t>48 can/Ctn</t>
  </si>
  <si>
    <t>380 gm x 48 can/Ctn</t>
  </si>
  <si>
    <t>380GM/CAN</t>
  </si>
  <si>
    <t>Full Cream Milk 牛奶</t>
  </si>
  <si>
    <t>1Lt x 12 Pkt/Ctn</t>
  </si>
  <si>
    <t>Pure Milk 牛奶</t>
  </si>
  <si>
    <t>Cowhead</t>
  </si>
  <si>
    <t>Carnation Milk 淡奶水</t>
  </si>
  <si>
    <t>King &amp; King</t>
  </si>
  <si>
    <t>48 can/Box</t>
  </si>
  <si>
    <t>Water Chestnut 马蹄罐</t>
  </si>
  <si>
    <t>Butter 牛油</t>
  </si>
  <si>
    <t>1 box</t>
  </si>
  <si>
    <t>Baked Beans 茄汁豆</t>
  </si>
  <si>
    <t>(200gm x 30bag)/箱</t>
  </si>
  <si>
    <t>Canned Red Bean 罐头 红豆</t>
  </si>
  <si>
    <t>3.4 KG</t>
  </si>
  <si>
    <t>6 BOTTLE</t>
  </si>
  <si>
    <t>Polar Mineral Water 矿泉水</t>
  </si>
  <si>
    <t>Mango Juice</t>
  </si>
  <si>
    <t>Honeydew Premier Concentrated</t>
  </si>
  <si>
    <t xml:space="preserve">Kidney Beans </t>
  </si>
  <si>
    <t>24x 425 gms</t>
  </si>
  <si>
    <t>Golden boy</t>
  </si>
  <si>
    <t>A10 x 6</t>
  </si>
  <si>
    <t>A10 x 1</t>
  </si>
  <si>
    <t>Phlippine</t>
  </si>
  <si>
    <t>(836gm x 12)/箱</t>
  </si>
  <si>
    <t>GOLDEN CHAMP</t>
  </si>
  <si>
    <t>Fruit Cocktail Quality 杂果</t>
  </si>
  <si>
    <t>Pineapple in Cubes 黄梨丁</t>
  </si>
  <si>
    <t>Peaches Sliced 桃条</t>
  </si>
  <si>
    <t>80 GM/ Pkt包</t>
  </si>
  <si>
    <t>100 GM/ Pkt包</t>
  </si>
  <si>
    <t>1 KG/ Pkt包</t>
  </si>
  <si>
    <t>700 GM/ Box盒</t>
  </si>
  <si>
    <t>Tapioca Q - Green 木薯粉圆</t>
  </si>
  <si>
    <t>500 GM/ Bag包</t>
  </si>
  <si>
    <t>900 GM/ Box盒</t>
  </si>
  <si>
    <t>Pandan Bean Curd Jelly 班兰豆花冻</t>
  </si>
  <si>
    <t>Red Tea Jelly 红茶冻</t>
  </si>
  <si>
    <t>FEN YUAN JELLY 粉圆冻</t>
  </si>
  <si>
    <t>Osmanthus Jelly 枸杞桂花冻</t>
  </si>
  <si>
    <t>150 gm</t>
  </si>
  <si>
    <t>Snow Ice - Milk 雪花冰-牛奶</t>
  </si>
  <si>
    <t>2 KG/ Pkt包</t>
  </si>
  <si>
    <t>Snow Ice - Chocolate 雪花冰-巧克力</t>
  </si>
  <si>
    <t>Snow Ice - Mango 雪花冰-芒果</t>
  </si>
  <si>
    <t>Snow Ice - Strawberry 雪花冰-草莓</t>
  </si>
  <si>
    <t>Snow Ice - Durian 雪花冰-榴莲</t>
  </si>
  <si>
    <t>Snow Ice - Matcha Green Tea 雪花冰-绿茶</t>
  </si>
  <si>
    <t>Rock Sugar Syrup 冰糖浆</t>
  </si>
  <si>
    <t>Agar Agar Red Jelly 菜燕冻红</t>
  </si>
  <si>
    <t>Agar Agar Green Jelly 菜燕冻绿</t>
  </si>
  <si>
    <t>Mini Colour Rice Ball 迷你七彩汤圆</t>
  </si>
  <si>
    <t>Honey Dew Puree-Yellow 蜜瓜浆-黄</t>
  </si>
  <si>
    <t>M1042</t>
  </si>
  <si>
    <t>Split Green Mung Bean (Steamed)  豆爽 (蒸)</t>
  </si>
  <si>
    <t>3Q Konjac Jelly</t>
  </si>
  <si>
    <t>4 KGS/Tub</t>
  </si>
  <si>
    <t>1 kg/Bag</t>
  </si>
  <si>
    <t>Honey Pearl - Black 蜜糖珍珠-黑</t>
  </si>
  <si>
    <t>Honey Pearl - Golden 蜜糖珍珠-金</t>
  </si>
  <si>
    <t>Magic Pop Ball - Mango 芒果爆珠</t>
  </si>
  <si>
    <t>3.2 KG/TUB</t>
  </si>
  <si>
    <t>Magic Pop Ball - Lychee 荔枝爆珠</t>
  </si>
  <si>
    <t>P1006B</t>
  </si>
  <si>
    <t>Magic Pop Ball - Strawberry 草莓爆珠</t>
  </si>
  <si>
    <t>P1006C</t>
  </si>
  <si>
    <t>Magic Pop Ball - Passion 百香果爆珠</t>
  </si>
  <si>
    <t>P1006D</t>
  </si>
  <si>
    <t>Magic Pop Ball - Yogurt 酸奶爆珠</t>
  </si>
  <si>
    <t>Magic Pop Ball - Water Chestnut White 马蹄爆珠-白</t>
  </si>
  <si>
    <t>850G/CAN</t>
  </si>
  <si>
    <t>Magic Pop Ball - Water Chestnut Red 马蹄爆珠-红</t>
  </si>
  <si>
    <t>P1007B</t>
  </si>
  <si>
    <t>Magic Pop Ball - Red Bean 红豆爆珠</t>
  </si>
  <si>
    <t>P1007C</t>
  </si>
  <si>
    <t>Magic Pop Ball - Barley 薏米爆珠</t>
  </si>
  <si>
    <t>500 GM X 20PKT</t>
  </si>
  <si>
    <t>2 kgs (20 X 100GM)</t>
  </si>
  <si>
    <t>5 X 100 GM</t>
  </si>
  <si>
    <t>Jelly Powder 文头雪粉 (Carrageenan)</t>
  </si>
  <si>
    <t>42gm x 10PKT/Bag</t>
  </si>
  <si>
    <t>Almond Powder - 杏仁粉- Yellow- Jelly A</t>
  </si>
  <si>
    <t>30gm/pkt x 10PKT</t>
  </si>
  <si>
    <t>43 gms x 10PKT/Bag</t>
  </si>
  <si>
    <t>20BOX/CARTON</t>
  </si>
  <si>
    <t>Mango Pudding Power 芒果布丁</t>
  </si>
  <si>
    <t>1BAG (5PKT X 310G)</t>
  </si>
  <si>
    <t>10PKT X 200 GM/BAG</t>
  </si>
  <si>
    <t>Almond Power-White 杏仁粉白</t>
  </si>
  <si>
    <t>70 gms x 10pkt</t>
  </si>
  <si>
    <t>Almond Power - Yellow 杏仁粉黄</t>
  </si>
  <si>
    <t>TUE</t>
  </si>
  <si>
    <t>150gm x 4pkt</t>
  </si>
  <si>
    <t>Herbal Jelly Powder 龟苓膏粉</t>
  </si>
  <si>
    <t>Nestle Coffeemate 咖啡奶粉</t>
  </si>
  <si>
    <t>12 KGS/CARTON</t>
  </si>
  <si>
    <t>P3064</t>
  </si>
  <si>
    <t>Rose Petal 玫瑰花瓣</t>
  </si>
  <si>
    <t>India</t>
  </si>
  <si>
    <t>50gm</t>
  </si>
  <si>
    <t>P3065</t>
  </si>
  <si>
    <t>Instant Oatmeal 继冲麦片</t>
  </si>
  <si>
    <t>QUAKER</t>
  </si>
  <si>
    <t>P3066</t>
  </si>
  <si>
    <t>LaoYan 老盐柠檬茶用盐</t>
  </si>
  <si>
    <t>银山</t>
  </si>
  <si>
    <t>P3066A</t>
  </si>
  <si>
    <t>P3067</t>
  </si>
  <si>
    <t>Peach Gum 桃胶</t>
  </si>
  <si>
    <t>500 GM/ Bag</t>
  </si>
  <si>
    <t>P3068</t>
  </si>
  <si>
    <t>Caramel Syrup 焦糖</t>
  </si>
  <si>
    <t>1.2 KG/ Btl</t>
  </si>
  <si>
    <t>ABC</t>
  </si>
  <si>
    <t>JIN JIN DESSERT                                                                         Blk 6, Jalan Bukit Merah. #01-21 ABC BRICKWORKS FOOD CENTRE . Singapore 150006</t>
  </si>
  <si>
    <t>P2002D</t>
  </si>
  <si>
    <t>46gm/10 pkts</t>
  </si>
  <si>
    <t>return</t>
  </si>
  <si>
    <t>P5004B</t>
  </si>
  <si>
    <t>P5004A</t>
  </si>
  <si>
    <t>P5004C</t>
  </si>
  <si>
    <t>01/7起调整价钱</t>
  </si>
  <si>
    <t>Granny's Pancake 面煎糕                     Amoy Street Food Centre                     7 Maxwell Road #02-101                 Singapore 069111</t>
  </si>
  <si>
    <t xml:space="preserve">顺兴                                                      Margaret Drive Hawker Centre           38A Margaret Drive, #02-24   Singapore 142038      </t>
  </si>
  <si>
    <t>好运                                                          Blk 15 Woodlands Loop, #03-24 Singapore 738322</t>
  </si>
  <si>
    <t>凉凉                                                          Tiong Bahru Market                           30 Seng Poh Road #02-75,             Singapore 168898</t>
  </si>
  <si>
    <t>美林 A1                                                    Tanglin Halt Market                        48A Tanglin Halt Road, #01-17 Singapore 142048</t>
  </si>
  <si>
    <t>麵包店                                                    Blk 548, Woodlands Dr 44 #01-26 Singapore 730548</t>
  </si>
  <si>
    <t>友谊                                                         Blk 409 Ang Mo Kio Ave 10, #01-09 Singapore 560409</t>
  </si>
  <si>
    <t>谢必安新甜 品                                      Blk 828 Tampines Street 81, #01-254 Singapore 520828</t>
  </si>
  <si>
    <t>Top Bean                                                   Hougang Central Bus Interchange/ Beside Blk 850                                       #01-07 Singapore 538757</t>
  </si>
  <si>
    <t>美江冷热甜品                                           Blk 503 West Coast Drive，#01-15 Singapore 120503</t>
  </si>
  <si>
    <t>天凉                                                            Blk 120 Bukit Merah Lane 1，       #01-41 Singapore 150120</t>
  </si>
  <si>
    <t>Ke Lao Hello Dessert                               Blk 448 Clementi Ave 3，#01-29 Singapore 120448</t>
  </si>
  <si>
    <t>MITR PHOL</t>
  </si>
  <si>
    <t>Fruitopia                                                    Adam Road Food Centre                         2 Adam Road, #01-29              Singapore 289876</t>
  </si>
  <si>
    <t>TEL: 91682104                                          Blk 416 BEDOK NORTH AVE 2 SINGAPORE 460416</t>
  </si>
  <si>
    <t>01/8 起调整价钱</t>
  </si>
  <si>
    <t>通发甜品                                                   Blk 409 Ang Mo Kio Ave 10, #01-18 Singapore 560409</t>
  </si>
  <si>
    <t>P3005F</t>
  </si>
  <si>
    <t>Black Sesame Seeds 黑芝麻</t>
  </si>
  <si>
    <t>GD</t>
  </si>
  <si>
    <t>Bags</t>
  </si>
  <si>
    <t>Tel: 94385221</t>
  </si>
  <si>
    <t>TEL: 8339 5755                                         Blk 433  Ang Mo Kio Ave 10              #03-1397 Singapore 560433</t>
  </si>
  <si>
    <t>AMK Blk 433 #03-1397</t>
  </si>
  <si>
    <t>CASH SALES                                                         Blk 159 Mei Chin Road #02-27   Singapore 140159</t>
  </si>
  <si>
    <t>Coconut Milk 椰浆小</t>
  </si>
  <si>
    <t>Before 3pm</t>
  </si>
  <si>
    <t>1/10 起调整价钱</t>
  </si>
  <si>
    <t>1/10起调整价钱</t>
  </si>
  <si>
    <t>1/10 Price Adjustment 起调整价钱</t>
  </si>
  <si>
    <t>(Deliver after 12pm)</t>
  </si>
  <si>
    <t>1/11 起调整价钱</t>
  </si>
  <si>
    <t>30/9 起调整价钱</t>
  </si>
  <si>
    <t>1/11 Price Adjustment 起调整价钱</t>
  </si>
  <si>
    <t>M1045</t>
  </si>
  <si>
    <t>Fresh Pineapple Puree 凤梨果浆</t>
  </si>
  <si>
    <t>800 GM</t>
  </si>
  <si>
    <t>M1043</t>
  </si>
  <si>
    <t>M1044</t>
  </si>
  <si>
    <t>Mini Brown Sago 迷你黑珍珠</t>
  </si>
  <si>
    <t>Cooked Big Sago</t>
  </si>
  <si>
    <t>box</t>
  </si>
  <si>
    <t>Red Bean Paste 红豆沙</t>
  </si>
  <si>
    <t>P7025A</t>
  </si>
  <si>
    <t>500 ml</t>
  </si>
  <si>
    <t>Note:- 1/10/23 起调整价钱</t>
  </si>
  <si>
    <t>Mat Cost</t>
  </si>
  <si>
    <t>01/11起调整价钱</t>
  </si>
  <si>
    <t>即日货调整价钱</t>
  </si>
  <si>
    <t>要扣除月尾单</t>
  </si>
  <si>
    <t>MR. NG                                                  Changi Village Hawker Centre,               2 Changi Village Road #01-14, Singapore 500002</t>
  </si>
  <si>
    <t>Green Mung Bean Starch (绿豆粉）</t>
  </si>
  <si>
    <t>4 Kgs X 4 Tub/ Ctn</t>
  </si>
  <si>
    <t xml:space="preserve">                                                                   Blk 159 Mei Chin Road #02-27   Singapore 140159</t>
  </si>
  <si>
    <t xml:space="preserve">FRUTTOSE BLUEBERRY FILLING </t>
  </si>
  <si>
    <t>3.3 KGS</t>
  </si>
  <si>
    <t>TINS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</si>
</sst>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164" formatCode="&quot;$&quot;#,##0;[Red]\-&quot;$&quot;#,##0"/>
    <numFmt numFmtId="165" formatCode="&quot;$&quot;#,##0.00;\-&quot;$&quot;#,##0.00"/>
    <numFmt numFmtId="166" formatCode="_-&quot;$&quot;* #,##0.00_-;\-&quot;$&quot;* #,##0.00_-;_-&quot;$&quot;* &quot;-&quot;??_-;_-@_-"/>
    <numFmt numFmtId="167" formatCode="_-&quot;$&quot;* #,##0.0_-;\-&quot;$&quot;* #,##0.0_-;_-&quot;$&quot;* &quot;-&quot;??_-;_-@_-"/>
    <numFmt numFmtId="168" formatCode="_(&quot;$&quot;* #,##0.0_);_(&quot;$&quot;* \(#,##0.0\);_(&quot;$&quot;* &quot;-&quot;?_);_(@_)"/>
    <numFmt numFmtId="169" formatCode="_-&quot;$&quot;* #,##0.0_-;\-&quot;$&quot;* #,##0.0_-;_-&quot;$&quot;* &quot;-&quot;?_-;_-@_-"/>
    <numFmt numFmtId="170" formatCode="[$-409]d\-mmm;@"/>
    <numFmt numFmtId="171" formatCode="_-&quot;$&quot;* #,##0.000_-;\-&quot;$&quot;* #,##0.000_-;_-&quot;$&quot;* &quot;-&quot;??_-;_-@_-"/>
    <numFmt numFmtId="172" formatCode="dd/mm/yyyy;@"/>
    <numFmt numFmtId="173" formatCode="dd\/m\/yyyy"/>
    <numFmt numFmtId="174" formatCode="d\/m\/yyyy"/>
    <numFmt numFmtId="175" formatCode="_-&quot;$&quot;* #,##0_-;\-&quot;$&quot;* #,##0_-;_-&quot;$&quot;* &quot;-&quot;??_-;_-@_-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sz val="9"/>
      <color indexed="81"/>
      <name val="Tahoma"/>
      <family val="2"/>
    </font>
    <font>
      <b/>
      <sz val="14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u/>
      <sz val="14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4"/>
      <name val="Calibri"/>
      <family val="2"/>
      <scheme val="minor"/>
    </font>
    <font>
      <b/>
      <u/>
      <sz val="13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u/>
      <sz val="14"/>
      <color theme="1"/>
      <name val="Calibri"/>
      <family val="2"/>
    </font>
    <font>
      <i/>
      <sz val="14"/>
      <color theme="1"/>
      <name val="Tahoma"/>
      <family val="2"/>
    </font>
    <font>
      <sz val="16"/>
      <color theme="1"/>
      <name val="Tahoma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1.4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2.6"/>
      <color theme="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166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72">
    <xf numFmtId="0" fontId="0" fillId="0" borderId="0" xfId="0"/>
    <xf numFmtId="0" fontId="0" fillId="0" borderId="1" xfId="0" applyBorder="1"/>
    <xf numFmtId="0" fontId="2" fillId="0" borderId="1" xfId="0" applyFont="1" applyBorder="1" applyAlignment="1">
      <alignment horizontal="center"/>
    </xf>
    <xf numFmtId="166" fontId="0" fillId="0" borderId="0" xfId="1" applyFont="1"/>
    <xf numFmtId="0" fontId="0" fillId="0" borderId="1" xfId="0" applyBorder="1" applyAlignment="1">
      <alignment vertical="center"/>
    </xf>
    <xf numFmtId="166" fontId="0" fillId="0" borderId="1" xfId="1" applyFont="1" applyBorder="1"/>
    <xf numFmtId="167" fontId="0" fillId="0" borderId="0" xfId="1" applyNumberFormat="1" applyFont="1"/>
    <xf numFmtId="167" fontId="0" fillId="0" borderId="1" xfId="1" applyNumberFormat="1" applyFont="1" applyBorder="1"/>
    <xf numFmtId="167" fontId="0" fillId="0" borderId="1" xfId="1" applyNumberFormat="1" applyFont="1" applyFill="1" applyBorder="1"/>
    <xf numFmtId="167" fontId="0" fillId="0" borderId="0" xfId="1" applyNumberFormat="1" applyFont="1" applyFill="1"/>
    <xf numFmtId="0" fontId="6" fillId="0" borderId="0" xfId="0" applyFont="1"/>
    <xf numFmtId="0" fontId="6" fillId="0" borderId="2" xfId="0" applyFont="1" applyBorder="1"/>
    <xf numFmtId="0" fontId="7" fillId="0" borderId="0" xfId="0" applyFont="1"/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7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8" xfId="0" applyFont="1" applyBorder="1"/>
    <xf numFmtId="0" fontId="8" fillId="0" borderId="19" xfId="0" applyFont="1" applyBorder="1"/>
    <xf numFmtId="0" fontId="8" fillId="0" borderId="20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6" fontId="8" fillId="0" borderId="0" xfId="1" applyFont="1" applyAlignment="1">
      <alignment horizontal="center"/>
    </xf>
    <xf numFmtId="166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6" fontId="8" fillId="0" borderId="7" xfId="1" applyFont="1" applyBorder="1" applyAlignment="1">
      <alignment horizontal="center"/>
    </xf>
    <xf numFmtId="166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66" fontId="8" fillId="0" borderId="8" xfId="0" applyNumberFormat="1" applyFont="1" applyBorder="1"/>
    <xf numFmtId="9" fontId="8" fillId="0" borderId="13" xfId="0" applyNumberFormat="1" applyFont="1" applyBorder="1" applyAlignment="1">
      <alignment horizontal="center"/>
    </xf>
    <xf numFmtId="166" fontId="8" fillId="0" borderId="11" xfId="0" applyNumberFormat="1" applyFont="1" applyBorder="1"/>
    <xf numFmtId="166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5" xfId="0" applyFon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0" fillId="2" borderId="21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166" fontId="8" fillId="0" borderId="11" xfId="1" applyFont="1" applyBorder="1"/>
    <xf numFmtId="0" fontId="8" fillId="0" borderId="0" xfId="0" applyFont="1" applyAlignment="1">
      <alignment horizontal="center"/>
    </xf>
    <xf numFmtId="166" fontId="8" fillId="0" borderId="0" xfId="1" applyFont="1" applyBorder="1" applyAlignment="1">
      <alignment horizontal="center"/>
    </xf>
    <xf numFmtId="0" fontId="2" fillId="0" borderId="1" xfId="0" applyFont="1" applyBorder="1"/>
    <xf numFmtId="0" fontId="1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7" fontId="0" fillId="0" borderId="1" xfId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167" fontId="0" fillId="5" borderId="1" xfId="1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166" fontId="2" fillId="12" borderId="1" xfId="1" applyFont="1" applyFill="1" applyBorder="1" applyAlignment="1">
      <alignment horizontal="center"/>
    </xf>
    <xf numFmtId="0" fontId="10" fillId="2" borderId="23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top" wrapText="1"/>
    </xf>
    <xf numFmtId="0" fontId="8" fillId="0" borderId="0" xfId="0" applyFont="1"/>
    <xf numFmtId="0" fontId="8" fillId="0" borderId="0" xfId="0" applyFont="1" applyAlignment="1">
      <alignment vertical="top" wrapText="1"/>
    </xf>
    <xf numFmtId="0" fontId="8" fillId="0" borderId="7" xfId="0" applyFont="1" applyBorder="1"/>
    <xf numFmtId="0" fontId="7" fillId="0" borderId="4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10" fillId="0" borderId="0" xfId="0" applyFont="1" applyAlignment="1">
      <alignment horizontal="center"/>
    </xf>
    <xf numFmtId="0" fontId="10" fillId="0" borderId="7" xfId="0" applyFont="1" applyBorder="1" applyAlignment="1">
      <alignment horizontal="center"/>
    </xf>
    <xf numFmtId="167" fontId="0" fillId="0" borderId="1" xfId="1" applyNumberFormat="1" applyFont="1" applyFill="1" applyBorder="1" applyAlignment="1">
      <alignment vertical="center"/>
    </xf>
    <xf numFmtId="166" fontId="9" fillId="0" borderId="3" xfId="1" applyFont="1" applyBorder="1" applyAlignment="1">
      <alignment horizontal="center"/>
    </xf>
    <xf numFmtId="0" fontId="8" fillId="0" borderId="0" xfId="0" applyFont="1" applyAlignment="1">
      <alignment horizontal="left"/>
    </xf>
    <xf numFmtId="0" fontId="8" fillId="0" borderId="2" xfId="0" quotePrefix="1" applyFont="1" applyBorder="1" applyAlignment="1">
      <alignment horizontal="center"/>
    </xf>
    <xf numFmtId="166" fontId="14" fillId="0" borderId="3" xfId="1" applyFont="1" applyBorder="1" applyAlignment="1">
      <alignment horizontal="center"/>
    </xf>
    <xf numFmtId="0" fontId="0" fillId="0" borderId="1" xfId="0" applyBorder="1" applyAlignment="1">
      <alignment vertical="center" wrapText="1"/>
    </xf>
    <xf numFmtId="0" fontId="8" fillId="0" borderId="7" xfId="0" applyFont="1" applyBorder="1" applyAlignment="1">
      <alignment horizontal="left"/>
    </xf>
    <xf numFmtId="166" fontId="14" fillId="0" borderId="5" xfId="1" applyFont="1" applyBorder="1" applyAlignment="1">
      <alignment horizontal="center"/>
    </xf>
    <xf numFmtId="0" fontId="0" fillId="11" borderId="1" xfId="0" applyFill="1" applyBorder="1" applyAlignment="1">
      <alignment horizontal="center" vertical="center" wrapText="1"/>
    </xf>
    <xf numFmtId="167" fontId="0" fillId="11" borderId="1" xfId="1" applyNumberFormat="1" applyFont="1" applyFill="1" applyBorder="1" applyAlignment="1">
      <alignment horizontal="center" vertical="center" wrapText="1"/>
    </xf>
    <xf numFmtId="0" fontId="0" fillId="13" borderId="1" xfId="0" applyFill="1" applyBorder="1" applyAlignment="1">
      <alignment horizontal="center" vertical="center" wrapText="1"/>
    </xf>
    <xf numFmtId="166" fontId="2" fillId="0" borderId="1" xfId="1" applyFont="1" applyFill="1" applyBorder="1" applyAlignment="1">
      <alignment horizontal="center" vertical="center" wrapText="1"/>
    </xf>
    <xf numFmtId="167" fontId="0" fillId="4" borderId="1" xfId="1" applyNumberFormat="1" applyFont="1" applyFill="1" applyBorder="1" applyAlignment="1">
      <alignment horizontal="center" vertical="center" wrapText="1"/>
    </xf>
    <xf numFmtId="167" fontId="0" fillId="9" borderId="1" xfId="1" applyNumberFormat="1" applyFont="1" applyFill="1" applyBorder="1" applyAlignment="1">
      <alignment horizontal="center" vertical="center" wrapText="1"/>
    </xf>
    <xf numFmtId="167" fontId="0" fillId="6" borderId="1" xfId="1" applyNumberFormat="1" applyFont="1" applyFill="1" applyBorder="1" applyAlignment="1">
      <alignment horizontal="center" vertical="center" wrapText="1"/>
    </xf>
    <xf numFmtId="167" fontId="0" fillId="14" borderId="1" xfId="1" applyNumberFormat="1" applyFont="1" applyFill="1" applyBorder="1" applyAlignment="1">
      <alignment horizontal="center" vertical="center" wrapText="1"/>
    </xf>
    <xf numFmtId="167" fontId="0" fillId="3" borderId="1" xfId="1" applyNumberFormat="1" applyFont="1" applyFill="1" applyBorder="1" applyAlignment="1">
      <alignment horizontal="center" vertical="center" wrapText="1"/>
    </xf>
    <xf numFmtId="167" fontId="0" fillId="10" borderId="1" xfId="1" applyNumberFormat="1" applyFont="1" applyFill="1" applyBorder="1" applyAlignment="1">
      <alignment horizontal="center" vertical="center" wrapText="1"/>
    </xf>
    <xf numFmtId="167" fontId="0" fillId="7" borderId="1" xfId="1" applyNumberFormat="1" applyFont="1" applyFill="1" applyBorder="1" applyAlignment="1">
      <alignment horizontal="center" vertical="center" wrapText="1"/>
    </xf>
    <xf numFmtId="167" fontId="0" fillId="2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33" xfId="0" applyBorder="1"/>
    <xf numFmtId="0" fontId="4" fillId="0" borderId="1" xfId="0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6" fontId="8" fillId="0" borderId="14" xfId="1" applyFont="1" applyBorder="1" applyAlignment="1">
      <alignment horizontal="center"/>
    </xf>
    <xf numFmtId="166" fontId="8" fillId="0" borderId="16" xfId="1" applyFont="1" applyBorder="1" applyAlignment="1">
      <alignment horizontal="center"/>
    </xf>
    <xf numFmtId="0" fontId="9" fillId="0" borderId="0" xfId="0" applyFont="1"/>
    <xf numFmtId="166" fontId="8" fillId="0" borderId="0" xfId="0" applyNumberFormat="1" applyFont="1"/>
    <xf numFmtId="166" fontId="8" fillId="0" borderId="0" xfId="1" applyFont="1" applyFill="1" applyAlignment="1">
      <alignment horizontal="center"/>
    </xf>
    <xf numFmtId="0" fontId="9" fillId="0" borderId="0" xfId="0" applyFont="1" applyAlignment="1">
      <alignment horizontal="center"/>
    </xf>
    <xf numFmtId="166" fontId="14" fillId="0" borderId="3" xfId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166" fontId="14" fillId="0" borderId="16" xfId="1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0" fillId="12" borderId="1" xfId="0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3" fillId="0" borderId="1" xfId="2" applyFill="1" applyBorder="1"/>
    <xf numFmtId="0" fontId="13" fillId="0" borderId="1" xfId="2" applyBorder="1"/>
    <xf numFmtId="0" fontId="0" fillId="9" borderId="1" xfId="0" applyFill="1" applyBorder="1" applyAlignment="1">
      <alignment horizontal="center" vertical="center"/>
    </xf>
    <xf numFmtId="0" fontId="0" fillId="9" borderId="1" xfId="0" applyFill="1" applyBorder="1" applyAlignment="1">
      <alignment horizontal="center" vertical="center" wrapText="1"/>
    </xf>
    <xf numFmtId="166" fontId="0" fillId="7" borderId="1" xfId="1" applyFont="1" applyFill="1" applyBorder="1" applyAlignment="1">
      <alignment horizontal="center" vertical="center" wrapText="1"/>
    </xf>
    <xf numFmtId="0" fontId="4" fillId="0" borderId="0" xfId="0" applyFont="1"/>
    <xf numFmtId="0" fontId="8" fillId="0" borderId="12" xfId="0" applyFont="1" applyBorder="1" applyAlignment="1">
      <alignment horizontal="left"/>
    </xf>
    <xf numFmtId="0" fontId="8" fillId="0" borderId="12" xfId="0" applyFont="1" applyBorder="1"/>
    <xf numFmtId="9" fontId="8" fillId="0" borderId="13" xfId="0" applyNumberFormat="1" applyFont="1" applyBorder="1"/>
    <xf numFmtId="9" fontId="16" fillId="0" borderId="13" xfId="0" applyNumberFormat="1" applyFont="1" applyBorder="1" applyAlignment="1">
      <alignment horizontal="center"/>
    </xf>
    <xf numFmtId="166" fontId="8" fillId="3" borderId="11" xfId="0" applyNumberFormat="1" applyFont="1" applyFill="1" applyBorder="1"/>
    <xf numFmtId="0" fontId="8" fillId="3" borderId="0" xfId="0" applyFont="1" applyFill="1" applyAlignment="1">
      <alignment horizontal="center"/>
    </xf>
    <xf numFmtId="0" fontId="9" fillId="0" borderId="0" xfId="0" quotePrefix="1" applyFont="1"/>
    <xf numFmtId="0" fontId="17" fillId="0" borderId="0" xfId="0" applyFont="1"/>
    <xf numFmtId="166" fontId="8" fillId="0" borderId="0" xfId="1" applyFont="1" applyFill="1" applyBorder="1" applyAlignment="1">
      <alignment horizontal="center"/>
    </xf>
    <xf numFmtId="166" fontId="8" fillId="0" borderId="7" xfId="1" applyFont="1" applyFill="1" applyBorder="1" applyAlignment="1">
      <alignment horizontal="center"/>
    </xf>
    <xf numFmtId="165" fontId="14" fillId="0" borderId="3" xfId="1" applyNumberFormat="1" applyFont="1" applyBorder="1" applyAlignment="1">
      <alignment horizontal="center"/>
    </xf>
    <xf numFmtId="0" fontId="8" fillId="3" borderId="0" xfId="0" applyFont="1" applyFill="1"/>
    <xf numFmtId="0" fontId="10" fillId="2" borderId="22" xfId="0" applyFont="1" applyFill="1" applyBorder="1" applyAlignment="1">
      <alignment horizontal="center" vertical="center" wrapText="1"/>
    </xf>
    <xf numFmtId="0" fontId="10" fillId="0" borderId="14" xfId="0" applyFont="1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164" fontId="9" fillId="0" borderId="1" xfId="0" applyNumberFormat="1" applyFont="1" applyBorder="1" applyAlignment="1">
      <alignment horizontal="center"/>
    </xf>
    <xf numFmtId="0" fontId="8" fillId="0" borderId="1" xfId="0" applyFont="1" applyBorder="1"/>
    <xf numFmtId="166" fontId="8" fillId="0" borderId="14" xfId="1" applyFont="1" applyFill="1" applyBorder="1" applyAlignment="1">
      <alignment horizontal="center"/>
    </xf>
    <xf numFmtId="166" fontId="14" fillId="0" borderId="16" xfId="1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166" fontId="8" fillId="0" borderId="3" xfId="1" applyFont="1" applyFill="1" applyBorder="1" applyAlignment="1">
      <alignment horizontal="center"/>
    </xf>
    <xf numFmtId="167" fontId="0" fillId="12" borderId="1" xfId="1" applyNumberFormat="1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/>
    </xf>
    <xf numFmtId="0" fontId="0" fillId="15" borderId="1" xfId="0" applyFill="1" applyBorder="1" applyAlignment="1">
      <alignment horizontal="center" vertical="center" wrapText="1"/>
    </xf>
    <xf numFmtId="167" fontId="0" fillId="15" borderId="1" xfId="1" applyNumberFormat="1" applyFont="1" applyFill="1" applyBorder="1" applyAlignment="1">
      <alignment horizontal="center" vertical="center" wrapText="1"/>
    </xf>
    <xf numFmtId="0" fontId="13" fillId="0" borderId="0" xfId="2"/>
    <xf numFmtId="0" fontId="12" fillId="0" borderId="1" xfId="0" applyFont="1" applyBorder="1"/>
    <xf numFmtId="0" fontId="8" fillId="0" borderId="32" xfId="0" applyFont="1" applyBorder="1"/>
    <xf numFmtId="0" fontId="8" fillId="3" borderId="31" xfId="0" applyFont="1" applyFill="1" applyBorder="1"/>
    <xf numFmtId="0" fontId="7" fillId="0" borderId="0" xfId="0" applyFont="1" applyAlignment="1">
      <alignment horizontal="left"/>
    </xf>
    <xf numFmtId="0" fontId="7" fillId="3" borderId="0" xfId="0" applyFont="1" applyFill="1"/>
    <xf numFmtId="0" fontId="8" fillId="0" borderId="40" xfId="0" applyFont="1" applyBorder="1"/>
    <xf numFmtId="0" fontId="8" fillId="17" borderId="0" xfId="0" applyFont="1" applyFill="1" applyAlignment="1">
      <alignment horizontal="center"/>
    </xf>
    <xf numFmtId="0" fontId="18" fillId="0" borderId="0" xfId="0" applyFont="1"/>
    <xf numFmtId="0" fontId="18" fillId="0" borderId="18" xfId="0" applyFont="1" applyBorder="1"/>
    <xf numFmtId="0" fontId="18" fillId="0" borderId="19" xfId="0" applyFont="1" applyBorder="1"/>
    <xf numFmtId="0" fontId="18" fillId="0" borderId="20" xfId="0" applyFont="1" applyBorder="1"/>
    <xf numFmtId="0" fontId="18" fillId="0" borderId="0" xfId="0" applyFont="1" applyAlignment="1">
      <alignment horizontal="center"/>
    </xf>
    <xf numFmtId="0" fontId="9" fillId="0" borderId="2" xfId="0" applyFont="1" applyBorder="1" applyAlignment="1">
      <alignment horizontal="center"/>
    </xf>
    <xf numFmtId="0" fontId="19" fillId="0" borderId="0" xfId="0" applyFont="1"/>
    <xf numFmtId="0" fontId="18" fillId="0" borderId="14" xfId="0" applyFont="1" applyBorder="1"/>
    <xf numFmtId="0" fontId="18" fillId="0" borderId="7" xfId="0" applyFont="1" applyBorder="1"/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7" fillId="0" borderId="5" xfId="0" applyFont="1" applyBorder="1" applyAlignment="1">
      <alignment vertical="top" wrapText="1"/>
    </xf>
    <xf numFmtId="0" fontId="10" fillId="2" borderId="22" xfId="0" applyFont="1" applyFill="1" applyBorder="1" applyAlignment="1">
      <alignment vertical="center"/>
    </xf>
    <xf numFmtId="0" fontId="10" fillId="2" borderId="23" xfId="0" applyFont="1" applyFill="1" applyBorder="1" applyAlignment="1">
      <alignment vertical="center"/>
    </xf>
    <xf numFmtId="0" fontId="10" fillId="2" borderId="24" xfId="0" applyFont="1" applyFill="1" applyBorder="1" applyAlignment="1">
      <alignment vertical="center"/>
    </xf>
    <xf numFmtId="0" fontId="8" fillId="0" borderId="9" xfId="0" applyFont="1" applyBorder="1"/>
    <xf numFmtId="0" fontId="8" fillId="0" borderId="10" xfId="0" applyFont="1" applyBorder="1"/>
    <xf numFmtId="0" fontId="8" fillId="3" borderId="12" xfId="0" applyFont="1" applyFill="1" applyBorder="1"/>
    <xf numFmtId="0" fontId="8" fillId="3" borderId="13" xfId="0" applyFont="1" applyFill="1" applyBorder="1"/>
    <xf numFmtId="0" fontId="10" fillId="0" borderId="7" xfId="0" applyFont="1" applyBorder="1"/>
    <xf numFmtId="0" fontId="8" fillId="0" borderId="31" xfId="0" applyFont="1" applyBorder="1"/>
    <xf numFmtId="167" fontId="12" fillId="0" borderId="1" xfId="1" applyNumberFormat="1" applyFont="1" applyFill="1" applyBorder="1" applyAlignment="1">
      <alignment horizontal="center"/>
    </xf>
    <xf numFmtId="0" fontId="10" fillId="2" borderId="1" xfId="0" applyFont="1" applyFill="1" applyBorder="1" applyAlignment="1">
      <alignment vertical="center"/>
    </xf>
    <xf numFmtId="0" fontId="10" fillId="0" borderId="15" xfId="0" applyFont="1" applyBorder="1" applyAlignment="1">
      <alignment horizontal="center"/>
    </xf>
    <xf numFmtId="166" fontId="14" fillId="0" borderId="5" xfId="1" applyFont="1" applyFill="1" applyBorder="1" applyAlignment="1">
      <alignment horizontal="center"/>
    </xf>
    <xf numFmtId="0" fontId="7" fillId="3" borderId="0" xfId="0" applyFont="1" applyFill="1" applyAlignment="1">
      <alignment horizontal="left"/>
    </xf>
    <xf numFmtId="166" fontId="12" fillId="12" borderId="1" xfId="1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/>
    </xf>
    <xf numFmtId="0" fontId="21" fillId="0" borderId="0" xfId="0" applyFont="1" applyAlignment="1">
      <alignment horizontal="center"/>
    </xf>
    <xf numFmtId="16" fontId="8" fillId="0" borderId="2" xfId="0" applyNumberFormat="1" applyFont="1" applyBorder="1" applyAlignment="1">
      <alignment horizontal="center"/>
    </xf>
    <xf numFmtId="0" fontId="20" fillId="0" borderId="0" xfId="0" applyFont="1"/>
    <xf numFmtId="0" fontId="0" fillId="7" borderId="1" xfId="0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/>
    </xf>
    <xf numFmtId="0" fontId="0" fillId="7" borderId="1" xfId="0" applyFill="1" applyBorder="1" applyAlignment="1">
      <alignment horizontal="center" vertical="center"/>
    </xf>
    <xf numFmtId="164" fontId="8" fillId="0" borderId="0" xfId="0" applyNumberFormat="1" applyFont="1"/>
    <xf numFmtId="0" fontId="7" fillId="0" borderId="2" xfId="0" applyFont="1" applyBorder="1"/>
    <xf numFmtId="166" fontId="14" fillId="0" borderId="0" xfId="1" applyFont="1" applyAlignment="1">
      <alignment horizontal="center"/>
    </xf>
    <xf numFmtId="0" fontId="14" fillId="0" borderId="1" xfId="0" applyFont="1" applyBorder="1"/>
    <xf numFmtId="0" fontId="8" fillId="0" borderId="14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  <xf numFmtId="0" fontId="2" fillId="0" borderId="1" xfId="0" applyFont="1" applyBorder="1" applyAlignment="1">
      <alignment horizontal="left"/>
    </xf>
    <xf numFmtId="0" fontId="12" fillId="0" borderId="1" xfId="0" applyFont="1" applyBorder="1" applyAlignment="1">
      <alignment horizontal="left"/>
    </xf>
    <xf numFmtId="166" fontId="0" fillId="0" borderId="0" xfId="0" applyNumberFormat="1"/>
    <xf numFmtId="166" fontId="23" fillId="0" borderId="1" xfId="1" applyFont="1" applyBorder="1" applyAlignment="1">
      <alignment horizontal="center"/>
    </xf>
    <xf numFmtId="20" fontId="12" fillId="0" borderId="1" xfId="0" applyNumberFormat="1" applyFont="1" applyBorder="1" applyAlignment="1">
      <alignment horizontal="center"/>
    </xf>
    <xf numFmtId="167" fontId="2" fillId="0" borderId="1" xfId="1" applyNumberFormat="1" applyFont="1" applyFill="1" applyBorder="1"/>
    <xf numFmtId="0" fontId="2" fillId="0" borderId="33" xfId="0" applyFont="1" applyBorder="1"/>
    <xf numFmtId="166" fontId="2" fillId="0" borderId="1" xfId="0" applyNumberFormat="1" applyFont="1" applyBorder="1"/>
    <xf numFmtId="167" fontId="12" fillId="0" borderId="1" xfId="1" applyNumberFormat="1" applyFont="1" applyFill="1" applyBorder="1"/>
    <xf numFmtId="166" fontId="2" fillId="0" borderId="1" xfId="1" applyFont="1" applyFill="1" applyBorder="1"/>
    <xf numFmtId="166" fontId="0" fillId="4" borderId="0" xfId="1" applyFont="1" applyFill="1" applyAlignment="1">
      <alignment horizontal="center" vertical="center" wrapText="1"/>
    </xf>
    <xf numFmtId="166" fontId="0" fillId="6" borderId="0" xfId="1" applyFont="1" applyFill="1" applyAlignment="1">
      <alignment horizontal="center" vertical="center" wrapText="1"/>
    </xf>
    <xf numFmtId="166" fontId="0" fillId="4" borderId="1" xfId="1" applyFont="1" applyFill="1" applyBorder="1"/>
    <xf numFmtId="166" fontId="0" fillId="6" borderId="1" xfId="1" applyFont="1" applyFill="1" applyBorder="1"/>
    <xf numFmtId="166" fontId="8" fillId="0" borderId="0" xfId="1" applyFont="1" applyFill="1" applyAlignment="1">
      <alignment horizontal="left"/>
    </xf>
    <xf numFmtId="0" fontId="0" fillId="7" borderId="0" xfId="0" applyFill="1" applyAlignment="1">
      <alignment horizontal="center" vertical="center" wrapText="1"/>
    </xf>
    <xf numFmtId="166" fontId="10" fillId="0" borderId="3" xfId="1" applyFont="1" applyFill="1" applyBorder="1"/>
    <xf numFmtId="0" fontId="10" fillId="0" borderId="0" xfId="0" applyFont="1"/>
    <xf numFmtId="0" fontId="8" fillId="0" borderId="27" xfId="0" applyFont="1" applyBorder="1"/>
    <xf numFmtId="0" fontId="8" fillId="0" borderId="28" xfId="0" applyFont="1" applyBorder="1"/>
    <xf numFmtId="0" fontId="8" fillId="0" borderId="29" xfId="0" applyFont="1" applyBorder="1"/>
    <xf numFmtId="166" fontId="8" fillId="0" borderId="44" xfId="0" applyNumberFormat="1" applyFont="1" applyBorder="1"/>
    <xf numFmtId="166" fontId="8" fillId="3" borderId="44" xfId="0" applyNumberFormat="1" applyFont="1" applyFill="1" applyBorder="1"/>
    <xf numFmtId="166" fontId="8" fillId="0" borderId="44" xfId="1" applyFont="1" applyBorder="1"/>
    <xf numFmtId="166" fontId="14" fillId="0" borderId="0" xfId="1" applyFont="1" applyFill="1" applyAlignment="1">
      <alignment horizontal="center"/>
    </xf>
    <xf numFmtId="1" fontId="10" fillId="0" borderId="0" xfId="0" applyNumberFormat="1" applyFont="1"/>
    <xf numFmtId="0" fontId="8" fillId="0" borderId="46" xfId="0" applyFont="1" applyBorder="1"/>
    <xf numFmtId="166" fontId="8" fillId="0" borderId="49" xfId="0" applyNumberFormat="1" applyFont="1" applyBorder="1"/>
    <xf numFmtId="166" fontId="8" fillId="0" borderId="50" xfId="0" applyNumberFormat="1" applyFont="1" applyBorder="1"/>
    <xf numFmtId="166" fontId="8" fillId="3" borderId="50" xfId="0" applyNumberFormat="1" applyFont="1" applyFill="1" applyBorder="1"/>
    <xf numFmtId="166" fontId="8" fillId="0" borderId="50" xfId="1" applyFont="1" applyBorder="1"/>
    <xf numFmtId="166" fontId="8" fillId="0" borderId="51" xfId="0" applyNumberFormat="1" applyFont="1" applyBorder="1"/>
    <xf numFmtId="0" fontId="8" fillId="0" borderId="47" xfId="0" applyFont="1" applyBorder="1"/>
    <xf numFmtId="0" fontId="8" fillId="0" borderId="41" xfId="0" applyFont="1" applyBorder="1"/>
    <xf numFmtId="166" fontId="2" fillId="0" borderId="1" xfId="1" applyFont="1" applyFill="1" applyBorder="1" applyAlignment="1">
      <alignment horizontal="center"/>
    </xf>
    <xf numFmtId="167" fontId="2" fillId="0" borderId="1" xfId="1" applyNumberFormat="1" applyFont="1" applyFill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3" fillId="0" borderId="1" xfId="1" applyFont="1" applyFill="1" applyBorder="1"/>
    <xf numFmtId="168" fontId="2" fillId="0" borderId="1" xfId="0" applyNumberFormat="1" applyFont="1" applyBorder="1"/>
    <xf numFmtId="169" fontId="2" fillId="0" borderId="1" xfId="0" applyNumberFormat="1" applyFont="1" applyBorder="1"/>
    <xf numFmtId="0" fontId="2" fillId="0" borderId="0" xfId="0" applyFont="1"/>
    <xf numFmtId="167" fontId="2" fillId="0" borderId="0" xfId="1" applyNumberFormat="1" applyFont="1" applyFill="1"/>
    <xf numFmtId="166" fontId="2" fillId="0" borderId="0" xfId="1" applyFont="1" applyFill="1"/>
    <xf numFmtId="170" fontId="10" fillId="0" borderId="0" xfId="0" applyNumberFormat="1" applyFont="1"/>
    <xf numFmtId="0" fontId="14" fillId="17" borderId="0" xfId="0" applyFont="1" applyFill="1" applyAlignment="1">
      <alignment horizontal="center"/>
    </xf>
    <xf numFmtId="0" fontId="8" fillId="12" borderId="31" xfId="0" applyFont="1" applyFill="1" applyBorder="1"/>
    <xf numFmtId="167" fontId="4" fillId="0" borderId="1" xfId="1" applyNumberFormat="1" applyFont="1" applyFill="1" applyBorder="1"/>
    <xf numFmtId="166" fontId="21" fillId="0" borderId="3" xfId="1" applyFont="1" applyBorder="1" applyAlignment="1">
      <alignment horizontal="center"/>
    </xf>
    <xf numFmtId="171" fontId="8" fillId="0" borderId="0" xfId="1" applyNumberFormat="1" applyFont="1" applyAlignment="1">
      <alignment horizontal="center"/>
    </xf>
    <xf numFmtId="166" fontId="8" fillId="0" borderId="47" xfId="1" applyFont="1" applyBorder="1"/>
    <xf numFmtId="0" fontId="14" fillId="3" borderId="0" xfId="0" applyFont="1" applyFill="1" applyAlignment="1">
      <alignment horizontal="center"/>
    </xf>
    <xf numFmtId="166" fontId="8" fillId="0" borderId="0" xfId="1" applyFont="1" applyAlignment="1">
      <alignment horizontal="left"/>
    </xf>
    <xf numFmtId="0" fontId="10" fillId="0" borderId="0" xfId="0" applyFont="1" applyAlignment="1">
      <alignment horizontal="left"/>
    </xf>
    <xf numFmtId="166" fontId="8" fillId="0" borderId="0" xfId="1" applyFont="1" applyAlignment="1"/>
    <xf numFmtId="16" fontId="8" fillId="0" borderId="0" xfId="0" applyNumberFormat="1" applyFont="1"/>
    <xf numFmtId="166" fontId="8" fillId="0" borderId="3" xfId="1" applyFont="1" applyBorder="1"/>
    <xf numFmtId="1" fontId="8" fillId="0" borderId="0" xfId="0" applyNumberFormat="1" applyFont="1"/>
    <xf numFmtId="166" fontId="14" fillId="7" borderId="1" xfId="1" applyFont="1" applyFill="1" applyBorder="1" applyAlignment="1">
      <alignment horizontal="center" vertical="center"/>
    </xf>
    <xf numFmtId="166" fontId="14" fillId="0" borderId="0" xfId="1" applyFont="1"/>
    <xf numFmtId="9" fontId="8" fillId="0" borderId="0" xfId="3" applyFont="1"/>
    <xf numFmtId="166" fontId="0" fillId="0" borderId="0" xfId="1" applyFont="1" applyFill="1"/>
    <xf numFmtId="16" fontId="0" fillId="7" borderId="0" xfId="1" applyNumberFormat="1" applyFont="1" applyFill="1"/>
    <xf numFmtId="166" fontId="0" fillId="7" borderId="0" xfId="1" applyFont="1" applyFill="1"/>
    <xf numFmtId="0" fontId="2" fillId="0" borderId="1" xfId="0" applyFont="1" applyBorder="1" applyAlignment="1">
      <alignment horizontal="center" vertical="center"/>
    </xf>
    <xf numFmtId="0" fontId="9" fillId="0" borderId="0" xfId="0" applyFont="1" applyAlignment="1">
      <alignment vertical="center" wrapText="1"/>
    </xf>
    <xf numFmtId="9" fontId="9" fillId="0" borderId="0" xfId="3" applyFont="1" applyAlignment="1">
      <alignment vertical="center" wrapText="1"/>
    </xf>
    <xf numFmtId="0" fontId="7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3" fillId="0" borderId="0" xfId="0" applyFont="1" applyAlignment="1">
      <alignment vertical="center"/>
    </xf>
    <xf numFmtId="166" fontId="14" fillId="0" borderId="0" xfId="1" applyFont="1" applyFill="1"/>
    <xf numFmtId="0" fontId="13" fillId="0" borderId="0" xfId="2" applyFill="1"/>
    <xf numFmtId="0" fontId="8" fillId="12" borderId="0" xfId="0" applyFont="1" applyFill="1"/>
    <xf numFmtId="0" fontId="21" fillId="0" borderId="0" xfId="0" applyFont="1" applyAlignment="1">
      <alignment horizontal="left"/>
    </xf>
    <xf numFmtId="172" fontId="8" fillId="0" borderId="0" xfId="0" applyNumberFormat="1" applyFont="1" applyAlignment="1">
      <alignment horizontal="center"/>
    </xf>
    <xf numFmtId="166" fontId="8" fillId="0" borderId="3" xfId="0" applyNumberFormat="1" applyFont="1" applyBorder="1"/>
    <xf numFmtId="0" fontId="8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7" fillId="0" borderId="3" xfId="0" applyFont="1" applyBorder="1" applyAlignment="1">
      <alignment horizontal="right"/>
    </xf>
    <xf numFmtId="166" fontId="8" fillId="0" borderId="3" xfId="1" applyFont="1" applyBorder="1" applyAlignment="1"/>
    <xf numFmtId="166" fontId="8" fillId="0" borderId="47" xfId="0" applyNumberFormat="1" applyFont="1" applyBorder="1"/>
    <xf numFmtId="0" fontId="0" fillId="0" borderId="0" xfId="1" applyNumberFormat="1" applyFont="1" applyAlignment="1">
      <alignment horizontal="center"/>
    </xf>
    <xf numFmtId="16" fontId="10" fillId="0" borderId="0" xfId="0" applyNumberFormat="1" applyFont="1"/>
    <xf numFmtId="0" fontId="8" fillId="18" borderId="52" xfId="0" applyFont="1" applyFill="1" applyBorder="1"/>
    <xf numFmtId="166" fontId="8" fillId="18" borderId="45" xfId="0" applyNumberFormat="1" applyFont="1" applyFill="1" applyBorder="1"/>
    <xf numFmtId="0" fontId="10" fillId="3" borderId="0" xfId="0" applyFont="1" applyFill="1" applyAlignment="1">
      <alignment horizontal="center"/>
    </xf>
    <xf numFmtId="0" fontId="25" fillId="3" borderId="0" xfId="0" applyFont="1" applyFill="1" applyAlignment="1">
      <alignment horizontal="left"/>
    </xf>
    <xf numFmtId="0" fontId="25" fillId="0" borderId="0" xfId="0" applyFont="1" applyAlignment="1">
      <alignment horizontal="left"/>
    </xf>
    <xf numFmtId="0" fontId="23" fillId="0" borderId="1" xfId="0" applyFont="1" applyBorder="1" applyAlignment="1">
      <alignment horizontal="center"/>
    </xf>
    <xf numFmtId="166" fontId="8" fillId="0" borderId="0" xfId="1" applyFont="1" applyAlignment="1">
      <alignment horizontal="right"/>
    </xf>
    <xf numFmtId="0" fontId="8" fillId="0" borderId="0" xfId="0" applyFont="1" applyAlignment="1">
      <alignment wrapText="1"/>
    </xf>
    <xf numFmtId="0" fontId="18" fillId="0" borderId="7" xfId="0" applyFont="1" applyBorder="1" applyAlignment="1">
      <alignment horizontal="center"/>
    </xf>
    <xf numFmtId="0" fontId="26" fillId="0" borderId="0" xfId="0" applyFont="1"/>
    <xf numFmtId="0" fontId="18" fillId="2" borderId="21" xfId="0" applyFont="1" applyFill="1" applyBorder="1" applyAlignment="1">
      <alignment horizontal="center" vertical="center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166" fontId="27" fillId="7" borderId="1" xfId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/>
    </xf>
    <xf numFmtId="166" fontId="18" fillId="0" borderId="0" xfId="1" applyFont="1" applyAlignment="1">
      <alignment horizontal="center"/>
    </xf>
    <xf numFmtId="166" fontId="27" fillId="0" borderId="3" xfId="1" applyFont="1" applyBorder="1" applyAlignment="1">
      <alignment horizontal="center"/>
    </xf>
    <xf numFmtId="166" fontId="27" fillId="0" borderId="0" xfId="1" applyFont="1"/>
    <xf numFmtId="0" fontId="18" fillId="0" borderId="0" xfId="0" applyFont="1" applyAlignment="1">
      <alignment horizontal="left"/>
    </xf>
    <xf numFmtId="0" fontId="18" fillId="0" borderId="4" xfId="0" applyFont="1" applyBorder="1" applyAlignment="1">
      <alignment horizontal="center"/>
    </xf>
    <xf numFmtId="166" fontId="18" fillId="0" borderId="7" xfId="1" applyFont="1" applyBorder="1" applyAlignment="1">
      <alignment horizontal="center"/>
    </xf>
    <xf numFmtId="166" fontId="18" fillId="0" borderId="5" xfId="1" applyFont="1" applyBorder="1" applyAlignment="1">
      <alignment horizontal="center"/>
    </xf>
    <xf numFmtId="0" fontId="18" fillId="0" borderId="2" xfId="0" applyFont="1" applyBorder="1"/>
    <xf numFmtId="0" fontId="18" fillId="0" borderId="3" xfId="0" applyFont="1" applyBorder="1"/>
    <xf numFmtId="0" fontId="19" fillId="0" borderId="2" xfId="0" applyFont="1" applyBorder="1"/>
    <xf numFmtId="9" fontId="18" fillId="0" borderId="0" xfId="3" applyFont="1"/>
    <xf numFmtId="0" fontId="26" fillId="0" borderId="2" xfId="0" applyFont="1" applyBorder="1"/>
    <xf numFmtId="0" fontId="18" fillId="0" borderId="15" xfId="0" applyFont="1" applyBorder="1"/>
    <xf numFmtId="0" fontId="18" fillId="0" borderId="16" xfId="0" applyFont="1" applyBorder="1"/>
    <xf numFmtId="0" fontId="18" fillId="0" borderId="4" xfId="0" applyFont="1" applyBorder="1"/>
    <xf numFmtId="0" fontId="18" fillId="0" borderId="5" xfId="0" applyFont="1" applyBorder="1"/>
    <xf numFmtId="166" fontId="18" fillId="0" borderId="0" xfId="1" applyFont="1" applyAlignment="1">
      <alignment horizontal="left"/>
    </xf>
    <xf numFmtId="0" fontId="7" fillId="12" borderId="0" xfId="0" applyFont="1" applyFill="1" applyAlignment="1">
      <alignment horizontal="left"/>
    </xf>
    <xf numFmtId="0" fontId="10" fillId="2" borderId="21" xfId="0" applyFont="1" applyFill="1" applyBorder="1" applyAlignment="1">
      <alignment horizontal="left" vertical="center" wrapText="1"/>
    </xf>
    <xf numFmtId="0" fontId="10" fillId="0" borderId="7" xfId="0" applyFont="1" applyBorder="1" applyAlignment="1">
      <alignment horizontal="left"/>
    </xf>
    <xf numFmtId="0" fontId="6" fillId="0" borderId="0" xfId="0" applyFont="1" applyAlignment="1">
      <alignment horizontal="left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8" fillId="0" borderId="20" xfId="0" applyFont="1" applyBorder="1" applyAlignment="1">
      <alignment horizontal="left"/>
    </xf>
    <xf numFmtId="166" fontId="8" fillId="0" borderId="3" xfId="1" applyFont="1" applyFill="1" applyBorder="1"/>
    <xf numFmtId="0" fontId="21" fillId="0" borderId="0" xfId="0" applyFont="1"/>
    <xf numFmtId="0" fontId="24" fillId="0" borderId="0" xfId="0" applyFont="1" applyAlignment="1">
      <alignment horizontal="left"/>
    </xf>
    <xf numFmtId="16" fontId="8" fillId="0" borderId="2" xfId="0" quotePrefix="1" applyNumberFormat="1" applyFont="1" applyBorder="1" applyAlignment="1">
      <alignment horizontal="center"/>
    </xf>
    <xf numFmtId="4" fontId="29" fillId="0" borderId="0" xfId="3" applyNumberFormat="1" applyFont="1"/>
    <xf numFmtId="0" fontId="30" fillId="0" borderId="0" xfId="0" applyFont="1"/>
    <xf numFmtId="0" fontId="8" fillId="0" borderId="2" xfId="0" quotePrefix="1" applyFont="1" applyBorder="1" applyAlignment="1">
      <alignment wrapText="1"/>
    </xf>
    <xf numFmtId="2" fontId="30" fillId="0" borderId="0" xfId="0" applyNumberFormat="1" applyFont="1"/>
    <xf numFmtId="44" fontId="8" fillId="0" borderId="3" xfId="0" applyNumberFormat="1" applyFont="1" applyBorder="1"/>
    <xf numFmtId="167" fontId="2" fillId="12" borderId="1" xfId="1" applyNumberFormat="1" applyFont="1" applyFill="1" applyBorder="1"/>
    <xf numFmtId="0" fontId="10" fillId="0" borderId="0" xfId="0" applyFont="1" applyAlignment="1">
      <alignment horizontal="left" indent="1"/>
    </xf>
    <xf numFmtId="0" fontId="14" fillId="0" borderId="7" xfId="0" applyFont="1" applyBorder="1"/>
    <xf numFmtId="175" fontId="2" fillId="0" borderId="1" xfId="1" applyNumberFormat="1" applyFont="1" applyFill="1" applyBorder="1"/>
    <xf numFmtId="0" fontId="3" fillId="0" borderId="1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10" fillId="0" borderId="14" xfId="0" applyFont="1" applyBorder="1"/>
    <xf numFmtId="166" fontId="2" fillId="15" borderId="1" xfId="1" applyFont="1" applyFill="1" applyBorder="1" applyAlignment="1">
      <alignment horizontal="center"/>
    </xf>
    <xf numFmtId="166" fontId="2" fillId="15" borderId="17" xfId="1" applyFont="1" applyFill="1" applyBorder="1" applyAlignment="1">
      <alignment horizontal="center"/>
    </xf>
    <xf numFmtId="166" fontId="2" fillId="12" borderId="17" xfId="1" applyFont="1" applyFill="1" applyBorder="1" applyAlignment="1">
      <alignment horizontal="center"/>
    </xf>
    <xf numFmtId="166" fontId="4" fillId="15" borderId="1" xfId="1" applyFont="1" applyFill="1" applyBorder="1" applyAlignment="1">
      <alignment horizontal="center"/>
    </xf>
    <xf numFmtId="167" fontId="2" fillId="15" borderId="1" xfId="1" applyNumberFormat="1" applyFont="1" applyFill="1" applyBorder="1"/>
    <xf numFmtId="166" fontId="0" fillId="12" borderId="1" xfId="1" applyFont="1" applyFill="1" applyBorder="1"/>
    <xf numFmtId="166" fontId="4" fillId="12" borderId="1" xfId="1" applyFont="1" applyFill="1" applyBorder="1" applyAlignment="1">
      <alignment horizontal="center"/>
    </xf>
    <xf numFmtId="166" fontId="24" fillId="15" borderId="1" xfId="1" applyFont="1" applyFill="1" applyBorder="1"/>
    <xf numFmtId="166" fontId="0" fillId="15" borderId="1" xfId="1" applyFont="1" applyFill="1" applyBorder="1"/>
    <xf numFmtId="166" fontId="2" fillId="15" borderId="1" xfId="1" applyFont="1" applyFill="1" applyBorder="1"/>
    <xf numFmtId="0" fontId="8" fillId="0" borderId="0" xfId="0" applyFont="1" applyAlignment="1">
      <alignment horizontal="left" indent="1"/>
    </xf>
    <xf numFmtId="166" fontId="9" fillId="0" borderId="0" xfId="0" applyNumberFormat="1" applyFont="1"/>
    <xf numFmtId="166" fontId="18" fillId="0" borderId="0" xfId="0" applyNumberFormat="1" applyFont="1"/>
    <xf numFmtId="166" fontId="9" fillId="0" borderId="0" xfId="0" quotePrefix="1" applyNumberFormat="1" applyFont="1"/>
    <xf numFmtId="0" fontId="2" fillId="0" borderId="1" xfId="1" applyNumberFormat="1" applyFont="1" applyFill="1" applyBorder="1"/>
    <xf numFmtId="166" fontId="14" fillId="0" borderId="0" xfId="1" applyFont="1" applyBorder="1" applyAlignment="1">
      <alignment horizontal="center"/>
    </xf>
    <xf numFmtId="166" fontId="14" fillId="0" borderId="0" xfId="1" applyFont="1" applyBorder="1"/>
    <xf numFmtId="0" fontId="8" fillId="19" borderId="0" xfId="0" applyFont="1" applyFill="1"/>
    <xf numFmtId="0" fontId="8" fillId="0" borderId="0" xfId="0" applyFont="1" applyAlignment="1">
      <alignment horizontal="center" wrapText="1"/>
    </xf>
    <xf numFmtId="167" fontId="2" fillId="3" borderId="1" xfId="1" applyNumberFormat="1" applyFont="1" applyFill="1" applyBorder="1"/>
    <xf numFmtId="166" fontId="9" fillId="0" borderId="0" xfId="1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5" fillId="0" borderId="0" xfId="0" applyFont="1"/>
    <xf numFmtId="0" fontId="22" fillId="0" borderId="0" xfId="0" applyFont="1"/>
    <xf numFmtId="0" fontId="24" fillId="0" borderId="2" xfId="0" applyFont="1" applyBorder="1" applyAlignment="1">
      <alignment horizontal="center"/>
    </xf>
    <xf numFmtId="0" fontId="7" fillId="12" borderId="0" xfId="0" applyFont="1" applyFill="1"/>
    <xf numFmtId="166" fontId="4" fillId="0" borderId="1" xfId="1" applyFont="1" applyBorder="1"/>
    <xf numFmtId="0" fontId="2" fillId="3" borderId="36" xfId="0" applyFont="1" applyFill="1" applyBorder="1" applyAlignment="1">
      <alignment horizontal="center" vertical="center"/>
    </xf>
    <xf numFmtId="166" fontId="2" fillId="8" borderId="33" xfId="1" applyFont="1" applyFill="1" applyBorder="1" applyAlignment="1">
      <alignment horizontal="center" vertical="center" wrapText="1"/>
    </xf>
    <xf numFmtId="166" fontId="0" fillId="3" borderId="1" xfId="1" applyFont="1" applyFill="1" applyBorder="1" applyAlignment="1">
      <alignment vertical="center" wrapText="1"/>
    </xf>
    <xf numFmtId="166" fontId="0" fillId="3" borderId="1" xfId="1" applyFont="1" applyFill="1" applyBorder="1" applyAlignment="1">
      <alignment horizontal="center" vertical="center" wrapText="1"/>
    </xf>
    <xf numFmtId="0" fontId="10" fillId="2" borderId="55" xfId="0" applyFont="1" applyFill="1" applyBorder="1" applyAlignment="1">
      <alignment horizontal="center" vertical="center"/>
    </xf>
    <xf numFmtId="0" fontId="10" fillId="2" borderId="55" xfId="0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 wrapText="1"/>
    </xf>
    <xf numFmtId="0" fontId="8" fillId="0" borderId="56" xfId="0" applyFont="1" applyBorder="1" applyAlignment="1">
      <alignment horizontal="center"/>
    </xf>
    <xf numFmtId="0" fontId="10" fillId="0" borderId="56" xfId="0" applyFont="1" applyBorder="1" applyAlignment="1">
      <alignment horizontal="left"/>
    </xf>
    <xf numFmtId="166" fontId="8" fillId="0" borderId="56" xfId="1" applyFont="1" applyBorder="1" applyAlignment="1">
      <alignment horizontal="center"/>
    </xf>
    <xf numFmtId="0" fontId="32" fillId="0" borderId="2" xfId="0" applyFont="1" applyBorder="1" applyAlignment="1">
      <alignment vertical="center"/>
    </xf>
    <xf numFmtId="0" fontId="8" fillId="0" borderId="57" xfId="0" applyFont="1" applyBorder="1" applyAlignment="1">
      <alignment horizontal="center"/>
    </xf>
    <xf numFmtId="166" fontId="8" fillId="0" borderId="58" xfId="1" applyFont="1" applyBorder="1" applyAlignment="1">
      <alignment horizontal="center"/>
    </xf>
    <xf numFmtId="0" fontId="14" fillId="0" borderId="0" xfId="0" applyFont="1" applyAlignment="1">
      <alignment horizontal="left" indent="1"/>
    </xf>
    <xf numFmtId="0" fontId="14" fillId="0" borderId="56" xfId="0" applyFont="1" applyBorder="1" applyAlignment="1">
      <alignment horizontal="left" indent="1"/>
    </xf>
    <xf numFmtId="0" fontId="8" fillId="0" borderId="0" xfId="0" applyFont="1" applyAlignment="1">
      <alignment horizontal="left" wrapText="1" indent="1"/>
    </xf>
    <xf numFmtId="0" fontId="2" fillId="0" borderId="17" xfId="0" applyFont="1" applyBorder="1"/>
    <xf numFmtId="0" fontId="2" fillId="0" borderId="17" xfId="0" applyFont="1" applyBorder="1" applyAlignment="1">
      <alignment horizontal="center"/>
    </xf>
    <xf numFmtId="0" fontId="2" fillId="0" borderId="33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0" borderId="17" xfId="0" applyBorder="1" applyAlignment="1">
      <alignment horizontal="center"/>
    </xf>
    <xf numFmtId="0" fontId="12" fillId="0" borderId="17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2" fillId="0" borderId="59" xfId="0" applyFont="1" applyBorder="1"/>
    <xf numFmtId="0" fontId="2" fillId="0" borderId="59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/>
    </xf>
    <xf numFmtId="0" fontId="2" fillId="0" borderId="60" xfId="0" applyFont="1" applyBorder="1"/>
    <xf numFmtId="0" fontId="2" fillId="0" borderId="60" xfId="0" applyFont="1" applyBorder="1" applyAlignment="1">
      <alignment horizontal="center" vertical="center"/>
    </xf>
    <xf numFmtId="0" fontId="2" fillId="0" borderId="60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/>
    </xf>
    <xf numFmtId="0" fontId="3" fillId="0" borderId="59" xfId="0" applyFont="1" applyBorder="1" applyAlignment="1">
      <alignment horizontal="center"/>
    </xf>
    <xf numFmtId="0" fontId="0" fillId="0" borderId="59" xfId="0" applyBorder="1" applyAlignment="1">
      <alignment horizontal="center"/>
    </xf>
    <xf numFmtId="0" fontId="3" fillId="0" borderId="60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12" fillId="0" borderId="33" xfId="0" applyFont="1" applyBorder="1" applyAlignment="1">
      <alignment horizontal="center"/>
    </xf>
    <xf numFmtId="0" fontId="2" fillId="0" borderId="59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166" fontId="2" fillId="15" borderId="53" xfId="1" applyFont="1" applyFill="1" applyBorder="1" applyAlignment="1">
      <alignment horizontal="center"/>
    </xf>
    <xf numFmtId="166" fontId="2" fillId="12" borderId="1" xfId="1" applyFont="1" applyFill="1" applyBorder="1"/>
    <xf numFmtId="166" fontId="8" fillId="0" borderId="0" xfId="1" applyFont="1" applyBorder="1" applyAlignment="1"/>
    <xf numFmtId="0" fontId="14" fillId="0" borderId="1" xfId="0" applyFont="1" applyBorder="1" applyAlignment="1">
      <alignment horizontal="center"/>
    </xf>
    <xf numFmtId="0" fontId="14" fillId="0" borderId="59" xfId="0" applyFont="1" applyBorder="1" applyAlignment="1">
      <alignment horizontal="center"/>
    </xf>
    <xf numFmtId="0" fontId="23" fillId="0" borderId="59" xfId="0" applyFont="1" applyBorder="1" applyAlignment="1">
      <alignment horizontal="center"/>
    </xf>
    <xf numFmtId="16" fontId="18" fillId="0" borderId="2" xfId="0" applyNumberFormat="1" applyFont="1" applyBorder="1" applyAlignment="1">
      <alignment horizontal="center"/>
    </xf>
    <xf numFmtId="166" fontId="14" fillId="0" borderId="0" xfId="1" applyFont="1" applyFill="1" applyAlignment="1"/>
    <xf numFmtId="166" fontId="14" fillId="0" borderId="3" xfId="1" applyFont="1" applyFill="1" applyBorder="1" applyAlignment="1"/>
    <xf numFmtId="0" fontId="14" fillId="0" borderId="0" xfId="0" applyFont="1"/>
    <xf numFmtId="166" fontId="8" fillId="0" borderId="0" xfId="3" applyNumberFormat="1" applyFont="1"/>
    <xf numFmtId="166" fontId="18" fillId="0" borderId="0" xfId="3" applyNumberFormat="1" applyFont="1"/>
    <xf numFmtId="166" fontId="2" fillId="10" borderId="1" xfId="1" applyFont="1" applyFill="1" applyBorder="1" applyAlignment="1">
      <alignment horizontal="center"/>
    </xf>
    <xf numFmtId="0" fontId="8" fillId="0" borderId="14" xfId="0" applyFont="1" applyBorder="1" applyAlignment="1">
      <alignment horizontal="left" indent="1"/>
    </xf>
    <xf numFmtId="0" fontId="10" fillId="0" borderId="14" xfId="0" applyFont="1" applyBorder="1" applyAlignment="1">
      <alignment horizontal="left"/>
    </xf>
    <xf numFmtId="0" fontId="10" fillId="12" borderId="0" xfId="0" applyFont="1" applyFill="1" applyAlignment="1">
      <alignment horizontal="left"/>
    </xf>
    <xf numFmtId="0" fontId="21" fillId="0" borderId="0" xfId="0" applyFont="1" applyAlignment="1">
      <alignment horizontal="left" indent="1"/>
    </xf>
    <xf numFmtId="0" fontId="8" fillId="0" borderId="36" xfId="0" applyFont="1" applyBorder="1" applyAlignment="1">
      <alignment horizontal="left"/>
    </xf>
    <xf numFmtId="0" fontId="8" fillId="0" borderId="36" xfId="0" applyFont="1" applyBorder="1"/>
    <xf numFmtId="9" fontId="16" fillId="0" borderId="53" xfId="0" applyNumberFormat="1" applyFont="1" applyBorder="1" applyAlignment="1">
      <alignment horizontal="center"/>
    </xf>
    <xf numFmtId="9" fontId="8" fillId="0" borderId="53" xfId="0" applyNumberFormat="1" applyFont="1" applyBorder="1"/>
    <xf numFmtId="0" fontId="24" fillId="0" borderId="0" xfId="0" applyFont="1"/>
    <xf numFmtId="0" fontId="32" fillId="0" borderId="0" xfId="0" applyFont="1"/>
    <xf numFmtId="0" fontId="33" fillId="0" borderId="0" xfId="0" applyFont="1" applyAlignment="1">
      <alignment horizontal="left"/>
    </xf>
    <xf numFmtId="166" fontId="8" fillId="0" borderId="0" xfId="1" applyFont="1"/>
    <xf numFmtId="166" fontId="2" fillId="20" borderId="1" xfId="1" applyFont="1" applyFill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0" fillId="0" borderId="0" xfId="0"/>
    <xf numFmtId="0" fontId="6" fillId="9" borderId="1" xfId="0" applyFont="1" applyFill="1" applyBorder="1" applyAlignment="1">
      <alignment horizontal="center" vertical="center"/>
    </xf>
    <xf numFmtId="0" fontId="3" fillId="16" borderId="1" xfId="0" applyFont="1" applyFill="1" applyBorder="1" applyAlignment="1">
      <alignment horizontal="left" vertical="center"/>
    </xf>
    <xf numFmtId="0" fontId="3" fillId="16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vertical="center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left" indent="1"/>
    </xf>
    <xf numFmtId="0" fontId="3" fillId="0" borderId="17" xfId="0" applyFont="1" applyBorder="1" applyAlignment="1">
      <alignment vertical="center"/>
    </xf>
    <xf numFmtId="0" fontId="0" fillId="0" borderId="36" xfId="0" applyBorder="1"/>
    <xf numFmtId="0" fontId="0" fillId="0" borderId="53" xfId="0" applyBorder="1"/>
    <xf numFmtId="0" fontId="0" fillId="0" borderId="33" xfId="0" applyBorder="1"/>
    <xf numFmtId="0" fontId="7" fillId="3" borderId="0" xfId="0" applyFont="1" applyFill="1" applyAlignment="1">
      <alignment horizontal="left"/>
    </xf>
    <xf numFmtId="0" fontId="8" fillId="0" borderId="36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8" fillId="0" borderId="35" xfId="0" applyFont="1" applyBorder="1" applyAlignment="1">
      <alignment horizontal="center"/>
    </xf>
    <xf numFmtId="0" fontId="8" fillId="0" borderId="27" xfId="0" applyFont="1" applyBorder="1" applyAlignment="1">
      <alignment horizontal="left" vertical="top" wrapText="1"/>
    </xf>
    <xf numFmtId="0" fontId="8" fillId="0" borderId="28" xfId="0" applyFont="1" applyBorder="1" applyAlignment="1">
      <alignment horizontal="left" vertical="top" wrapText="1"/>
    </xf>
    <xf numFmtId="0" fontId="8" fillId="0" borderId="29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74" fontId="8" fillId="0" borderId="36" xfId="0" applyNumberFormat="1" applyFont="1" applyBorder="1" applyAlignment="1">
      <alignment horizontal="center"/>
    </xf>
    <xf numFmtId="174" fontId="8" fillId="0" borderId="37" xfId="0" applyNumberFormat="1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26" xfId="0" applyFont="1" applyBorder="1" applyAlignment="1">
      <alignment horizontal="center"/>
    </xf>
    <xf numFmtId="0" fontId="7" fillId="0" borderId="27" xfId="0" applyFont="1" applyBorder="1" applyAlignment="1">
      <alignment vertical="top" wrapText="1"/>
    </xf>
    <xf numFmtId="0" fontId="7" fillId="0" borderId="28" xfId="0" applyFont="1" applyBorder="1" applyAlignment="1">
      <alignment vertical="top" wrapText="1"/>
    </xf>
    <xf numFmtId="0" fontId="7" fillId="0" borderId="29" xfId="0" applyFont="1" applyBorder="1" applyAlignment="1">
      <alignment vertical="top" wrapText="1"/>
    </xf>
    <xf numFmtId="174" fontId="8" fillId="0" borderId="1" xfId="0" applyNumberFormat="1" applyFont="1" applyBorder="1" applyAlignment="1">
      <alignment horizontal="center"/>
    </xf>
    <xf numFmtId="174" fontId="8" fillId="0" borderId="30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30" xfId="0" applyFont="1" applyBorder="1" applyAlignment="1">
      <alignment horizontal="center"/>
    </xf>
    <xf numFmtId="0" fontId="7" fillId="0" borderId="4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10" fillId="2" borderId="22" xfId="0" applyFont="1" applyFill="1" applyBorder="1" applyAlignment="1">
      <alignment horizontal="center" vertical="center"/>
    </xf>
    <xf numFmtId="0" fontId="10" fillId="2" borderId="23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8" fillId="0" borderId="7" xfId="0" applyFont="1" applyBorder="1"/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27" xfId="0" applyFont="1" applyBorder="1" applyAlignment="1">
      <alignment vertical="top" wrapText="1"/>
    </xf>
    <xf numFmtId="0" fontId="8" fillId="0" borderId="28" xfId="0" applyFont="1" applyBorder="1" applyAlignment="1">
      <alignment vertical="top" wrapText="1"/>
    </xf>
    <xf numFmtId="0" fontId="8" fillId="0" borderId="29" xfId="0" applyFont="1" applyBorder="1" applyAlignment="1">
      <alignment vertical="top" wrapText="1"/>
    </xf>
    <xf numFmtId="0" fontId="8" fillId="0" borderId="31" xfId="0" applyFont="1" applyBorder="1" applyAlignment="1">
      <alignment horizontal="center"/>
    </xf>
    <xf numFmtId="0" fontId="8" fillId="0" borderId="32" xfId="0" applyFont="1" applyBorder="1" applyAlignment="1">
      <alignment horizontal="center"/>
    </xf>
    <xf numFmtId="0" fontId="8" fillId="0" borderId="14" xfId="0" applyFont="1" applyBorder="1" applyAlignment="1">
      <alignment horizontal="left"/>
    </xf>
    <xf numFmtId="0" fontId="10" fillId="0" borderId="14" xfId="0" applyFont="1" applyBorder="1" applyAlignment="1">
      <alignment horizontal="left" indent="1"/>
    </xf>
    <xf numFmtId="0" fontId="33" fillId="0" borderId="0" xfId="0" applyFont="1" applyAlignment="1">
      <alignment horizontal="left"/>
    </xf>
    <xf numFmtId="0" fontId="28" fillId="0" borderId="4" xfId="0" applyFont="1" applyBorder="1" applyAlignment="1">
      <alignment horizontal="left" vertical="top" wrapText="1"/>
    </xf>
    <xf numFmtId="0" fontId="28" fillId="0" borderId="7" xfId="0" applyFont="1" applyBorder="1" applyAlignment="1">
      <alignment horizontal="left" vertical="top" wrapText="1"/>
    </xf>
    <xf numFmtId="0" fontId="28" fillId="0" borderId="5" xfId="0" applyFont="1" applyBorder="1" applyAlignment="1">
      <alignment horizontal="left" vertical="top" wrapText="1"/>
    </xf>
    <xf numFmtId="0" fontId="10" fillId="0" borderId="28" xfId="0" applyFont="1" applyBorder="1" applyAlignment="1">
      <alignment horizontal="left" indent="1"/>
    </xf>
    <xf numFmtId="0" fontId="8" fillId="0" borderId="48" xfId="0" applyFont="1" applyBorder="1" applyAlignment="1">
      <alignment horizontal="left"/>
    </xf>
    <xf numFmtId="0" fontId="8" fillId="0" borderId="45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34" fillId="0" borderId="28" xfId="0" applyFont="1" applyBorder="1" applyAlignment="1">
      <alignment horizontal="left"/>
    </xf>
    <xf numFmtId="0" fontId="14" fillId="0" borderId="0" xfId="0" applyFont="1" applyAlignment="1">
      <alignment horizontal="left"/>
    </xf>
    <xf numFmtId="0" fontId="7" fillId="0" borderId="4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  <xf numFmtId="0" fontId="10" fillId="0" borderId="14" xfId="0" applyFont="1" applyBorder="1" applyAlignment="1">
      <alignment horizontal="center"/>
    </xf>
    <xf numFmtId="0" fontId="36" fillId="0" borderId="0" xfId="0" applyFont="1" applyAlignment="1">
      <alignment horizontal="left"/>
    </xf>
    <xf numFmtId="14" fontId="8" fillId="0" borderId="1" xfId="0" applyNumberFormat="1" applyFont="1" applyBorder="1" applyAlignment="1">
      <alignment horizontal="center"/>
    </xf>
    <xf numFmtId="0" fontId="8" fillId="0" borderId="0" xfId="0" applyFont="1"/>
    <xf numFmtId="0" fontId="24" fillId="0" borderId="0" xfId="0" applyFont="1"/>
    <xf numFmtId="0" fontId="35" fillId="0" borderId="0" xfId="0" applyFont="1" applyAlignment="1">
      <alignment horizontal="left"/>
    </xf>
    <xf numFmtId="0" fontId="18" fillId="0" borderId="7" xfId="0" applyFont="1" applyBorder="1"/>
    <xf numFmtId="0" fontId="26" fillId="3" borderId="0" xfId="0" applyFont="1" applyFill="1" applyAlignment="1">
      <alignment horizontal="left"/>
    </xf>
    <xf numFmtId="0" fontId="18" fillId="2" borderId="22" xfId="0" applyFont="1" applyFill="1" applyBorder="1" applyAlignment="1">
      <alignment horizontal="center" vertical="center"/>
    </xf>
    <xf numFmtId="0" fontId="18" fillId="2" borderId="23" xfId="0" applyFont="1" applyFill="1" applyBorder="1" applyAlignment="1">
      <alignment horizontal="center" vertical="center"/>
    </xf>
    <xf numFmtId="0" fontId="18" fillId="2" borderId="24" xfId="0" applyFont="1" applyFill="1" applyBorder="1" applyAlignment="1">
      <alignment horizontal="center" vertical="center"/>
    </xf>
    <xf numFmtId="0" fontId="8" fillId="0" borderId="28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18" fillId="0" borderId="7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8" fillId="0" borderId="7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21" fillId="0" borderId="28" xfId="0" applyFont="1" applyBorder="1" applyAlignment="1">
      <alignment horizontal="left" indent="1"/>
    </xf>
    <xf numFmtId="0" fontId="21" fillId="0" borderId="0" xfId="0" applyFont="1" applyAlignment="1">
      <alignment horizontal="left" indent="1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 indent="1"/>
    </xf>
    <xf numFmtId="0" fontId="10" fillId="0" borderId="0" xfId="0" applyFont="1"/>
    <xf numFmtId="0" fontId="10" fillId="2" borderId="27" xfId="0" applyFont="1" applyFill="1" applyBorder="1" applyAlignment="1">
      <alignment horizontal="center" vertical="center"/>
    </xf>
    <xf numFmtId="0" fontId="10" fillId="2" borderId="28" xfId="0" applyFont="1" applyFill="1" applyBorder="1" applyAlignment="1">
      <alignment horizontal="center" vertical="center"/>
    </xf>
    <xf numFmtId="0" fontId="10" fillId="2" borderId="29" xfId="0" applyFont="1" applyFill="1" applyBorder="1" applyAlignment="1">
      <alignment horizontal="center" vertical="center"/>
    </xf>
    <xf numFmtId="0" fontId="8" fillId="0" borderId="56" xfId="0" applyFont="1" applyBorder="1" applyAlignment="1">
      <alignment horizontal="left"/>
    </xf>
    <xf numFmtId="0" fontId="10" fillId="0" borderId="56" xfId="0" applyFont="1" applyBorder="1" applyAlignment="1">
      <alignment horizontal="left" indent="1"/>
    </xf>
    <xf numFmtId="0" fontId="8" fillId="0" borderId="27" xfId="0" applyFont="1" applyBorder="1" applyAlignment="1">
      <alignment horizontal="center" vertical="top" wrapText="1"/>
    </xf>
    <xf numFmtId="0" fontId="8" fillId="0" borderId="28" xfId="0" applyFont="1" applyBorder="1" applyAlignment="1">
      <alignment horizontal="center" vertical="top" wrapText="1"/>
    </xf>
    <xf numFmtId="0" fontId="8" fillId="0" borderId="29" xfId="0" applyFont="1" applyBorder="1" applyAlignment="1">
      <alignment horizontal="center" vertical="top" wrapText="1"/>
    </xf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166" fontId="8" fillId="0" borderId="0" xfId="1" applyFont="1" applyAlignment="1">
      <alignment horizontal="left"/>
    </xf>
    <xf numFmtId="166" fontId="8" fillId="0" borderId="3" xfId="1" applyFont="1" applyBorder="1" applyAlignment="1">
      <alignment horizontal="left"/>
    </xf>
    <xf numFmtId="0" fontId="8" fillId="3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10" fillId="2" borderId="54" xfId="0" applyFont="1" applyFill="1" applyBorder="1" applyAlignment="1">
      <alignment horizontal="center" vertical="center"/>
    </xf>
    <xf numFmtId="0" fontId="10" fillId="2" borderId="42" xfId="0" applyFont="1" applyFill="1" applyBorder="1" applyAlignment="1">
      <alignment horizontal="center" vertical="center"/>
    </xf>
    <xf numFmtId="0" fontId="10" fillId="2" borderId="43" xfId="0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/>
    </xf>
    <xf numFmtId="0" fontId="10" fillId="12" borderId="0" xfId="0" applyFont="1" applyFill="1" applyAlignment="1">
      <alignment horizontal="left" indent="1"/>
    </xf>
    <xf numFmtId="173" fontId="8" fillId="0" borderId="1" xfId="0" applyNumberFormat="1" applyFont="1" applyBorder="1" applyAlignment="1">
      <alignment horizontal="center"/>
    </xf>
    <xf numFmtId="173" fontId="8" fillId="0" borderId="30" xfId="0" applyNumberFormat="1" applyFont="1" applyBorder="1" applyAlignment="1">
      <alignment horizontal="center"/>
    </xf>
    <xf numFmtId="0" fontId="37" fillId="0" borderId="0" xfId="0" applyFont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36" xfId="0" applyFont="1" applyBorder="1" applyAlignment="1">
      <alignment horizontal="left"/>
    </xf>
    <xf numFmtId="0" fontId="8" fillId="3" borderId="36" xfId="0" applyFont="1" applyFill="1" applyBorder="1" applyAlignment="1">
      <alignment horizontal="left"/>
    </xf>
    <xf numFmtId="0" fontId="8" fillId="3" borderId="53" xfId="0" applyFont="1" applyFill="1" applyBorder="1" applyAlignment="1">
      <alignment horizontal="left"/>
    </xf>
    <xf numFmtId="0" fontId="7" fillId="0" borderId="0" xfId="0" applyFont="1" applyAlignment="1">
      <alignment horizontal="center"/>
    </xf>
    <xf numFmtId="0" fontId="8" fillId="17" borderId="0" xfId="0" applyFont="1" applyFill="1" applyAlignment="1">
      <alignment horizontal="left"/>
    </xf>
    <xf numFmtId="14" fontId="8" fillId="0" borderId="30" xfId="0" applyNumberFormat="1" applyFont="1" applyBorder="1" applyAlignment="1">
      <alignment horizontal="center"/>
    </xf>
    <xf numFmtId="0" fontId="10" fillId="3" borderId="28" xfId="0" applyFont="1" applyFill="1" applyBorder="1" applyAlignment="1">
      <alignment horizontal="left" indent="1"/>
    </xf>
    <xf numFmtId="0" fontId="10" fillId="2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8" fillId="0" borderId="4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8" fillId="0" borderId="38" xfId="0" applyFont="1" applyBorder="1" applyAlignment="1">
      <alignment horizontal="left"/>
    </xf>
    <xf numFmtId="0" fontId="8" fillId="0" borderId="39" xfId="0" applyFont="1" applyBorder="1" applyAlignment="1">
      <alignment horizontal="left"/>
    </xf>
    <xf numFmtId="0" fontId="13" fillId="0" borderId="27" xfId="2" applyBorder="1" applyAlignment="1">
      <alignment vertical="top" wrapText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14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7" fillId="0" borderId="0" xfId="0" applyFont="1" applyFill="1" applyAlignment="1">
      <alignment horizontal="left"/>
    </xf>
    <xf numFmtId="0" fontId="8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left" indent="1"/>
    </xf>
    <xf numFmtId="0" fontId="10" fillId="0" borderId="0" xfId="0" applyFont="1" applyFill="1"/>
    <xf numFmtId="0" fontId="10" fillId="0" borderId="0" xfId="0" applyFont="1" applyFill="1" applyAlignment="1">
      <alignment horizontal="left" indent="1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1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66"/>
      <color rgb="FF99660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theme" Target="theme/theme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CAF1FB-53A0-40E9-BCEF-9FD82D23E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001897-93CA-4AF9-B96E-575272C6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8AE2D38-F9E9-423A-8901-91E7F5A54761}"/>
            </a:ext>
          </a:extLst>
        </xdr:cNvPr>
        <xdr:cNvGrpSpPr/>
      </xdr:nvGrpSpPr>
      <xdr:grpSpPr>
        <a:xfrm>
          <a:off x="1493158" y="199571"/>
          <a:ext cx="74104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5F6BE92E-70F7-4F2A-B1AD-FF04356DE32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CAF92EA6-2684-41F5-95EA-F3099FB91A79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2691EAD-2D8B-4C34-A08B-82F5884E816D}"/>
            </a:ext>
          </a:extLst>
        </xdr:cNvPr>
        <xdr:cNvGrpSpPr/>
      </xdr:nvGrpSpPr>
      <xdr:grpSpPr>
        <a:xfrm>
          <a:off x="1493158" y="199571"/>
          <a:ext cx="74104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CE126D14-D5CB-4D30-AB47-25D27E442F2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13214462-1C0C-4DCC-94AF-B86CCA6A8FE4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1C8FF90-E67B-44D9-BA44-81B200A2F87E}"/>
            </a:ext>
          </a:extLst>
        </xdr:cNvPr>
        <xdr:cNvGrpSpPr/>
      </xdr:nvGrpSpPr>
      <xdr:grpSpPr>
        <a:xfrm>
          <a:off x="1493158" y="199571"/>
          <a:ext cx="75311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E24D32B2-AEE6-4494-A039-E7BE347D274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CD5E25B2-5CA3-48BD-8EF2-11E713F3A208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393699</xdr:colOff>
      <xdr:row>0</xdr:row>
      <xdr:rowOff>0</xdr:rowOff>
    </xdr:from>
    <xdr:to>
      <xdr:col>11</xdr:col>
      <xdr:colOff>500944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A91AA9-3D91-4ED0-85BB-CB6F21AD1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999" y="0"/>
          <a:ext cx="7771695" cy="1865619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ABD8940-1616-4B53-83C5-E7A3FDD64CDD}"/>
            </a:ext>
          </a:extLst>
        </xdr:cNvPr>
        <xdr:cNvGrpSpPr/>
      </xdr:nvGrpSpPr>
      <xdr:grpSpPr>
        <a:xfrm>
          <a:off x="1493158" y="199571"/>
          <a:ext cx="74104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CC7ECA7-AAA9-42E6-A908-CA108321CD0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4863202A-4F89-4126-907B-D32B2FC56216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7D89B67-9D15-424D-903D-D5502ACE025F}"/>
            </a:ext>
          </a:extLst>
        </xdr:cNvPr>
        <xdr:cNvGrpSpPr/>
      </xdr:nvGrpSpPr>
      <xdr:grpSpPr>
        <a:xfrm>
          <a:off x="1493158" y="199571"/>
          <a:ext cx="76009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EF0153C-9918-49AD-8956-65F601E26A6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F4347012-B0F3-426B-91E9-28F242DF53E4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8B808C2E-C7E3-4ADC-9D4B-F5A7B541B70B}"/>
            </a:ext>
          </a:extLst>
        </xdr:cNvPr>
        <xdr:cNvGrpSpPr/>
      </xdr:nvGrpSpPr>
      <xdr:grpSpPr>
        <a:xfrm>
          <a:off x="1493158" y="199571"/>
          <a:ext cx="7461266" cy="1563008"/>
          <a:chOff x="1834595" y="633399"/>
          <a:chExt cx="5179765" cy="1275899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2A16ABEC-8464-4D14-AA0D-B08AC2FD9DB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2428C00F-1D3D-4482-92BE-990F28B980C1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9CEA880-390B-4E96-BD9B-9CC8AF077846}"/>
            </a:ext>
          </a:extLst>
        </xdr:cNvPr>
        <xdr:cNvGrpSpPr/>
      </xdr:nvGrpSpPr>
      <xdr:grpSpPr>
        <a:xfrm>
          <a:off x="1493158" y="199571"/>
          <a:ext cx="76009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3F1D942-0883-42DB-B8D9-11627FDEF823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912B1FDC-3C74-4137-8DDC-DC1938A9D32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520316B-3D60-4425-9461-46785CC55C8C}"/>
            </a:ext>
          </a:extLst>
        </xdr:cNvPr>
        <xdr:cNvGrpSpPr/>
      </xdr:nvGrpSpPr>
      <xdr:grpSpPr>
        <a:xfrm>
          <a:off x="1493158" y="199571"/>
          <a:ext cx="74104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B0F1E5A-BF1C-43EA-BCE2-D29C701D4D1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99D91F2-266A-421E-A03C-D04EAA75058A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811CB85-6B05-4F38-928A-9C2D255997EE}"/>
            </a:ext>
          </a:extLst>
        </xdr:cNvPr>
        <xdr:cNvGrpSpPr/>
      </xdr:nvGrpSpPr>
      <xdr:grpSpPr>
        <a:xfrm>
          <a:off x="1493158" y="199571"/>
          <a:ext cx="74104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89F4C847-0951-4DFD-B18A-B5B483EF846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D596E564-29F4-4218-9989-6F65E60728CE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20B992-882A-4F6C-9509-D3151021B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3313703-4B0C-4DCD-8022-8C8C6E31584D}"/>
            </a:ext>
          </a:extLst>
        </xdr:cNvPr>
        <xdr:cNvGrpSpPr/>
      </xdr:nvGrpSpPr>
      <xdr:grpSpPr>
        <a:xfrm>
          <a:off x="1493158" y="199571"/>
          <a:ext cx="76009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2476A32-A093-4EF3-BAB0-9C9CBDE4E01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9F186BEB-C53E-4297-A4AF-9192F0A2DCBD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DC749556-E285-4779-BE15-49A612DD2D10}"/>
            </a:ext>
          </a:extLst>
        </xdr:cNvPr>
        <xdr:cNvGrpSpPr/>
      </xdr:nvGrpSpPr>
      <xdr:grpSpPr>
        <a:xfrm>
          <a:off x="2406312" y="74381"/>
          <a:ext cx="6674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4343C289-D4B1-4878-BB66-575A9D5A8992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069B765E-019F-4BC1-8CC5-D56D35C74ABC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9ACD57B9-8312-4DB2-9561-274E8EFA02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1FD19981-CA5D-48C2-A596-C4C83DA153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B0E276D1-858A-4D5B-9E9C-0712E3803A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361236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19A5646-BD2B-4DFC-A44A-C5990E4C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5E755B33-840E-4469-BF7D-EC3A07827C31}"/>
            </a:ext>
          </a:extLst>
        </xdr:cNvPr>
        <xdr:cNvGrpSpPr/>
      </xdr:nvGrpSpPr>
      <xdr:grpSpPr>
        <a:xfrm>
          <a:off x="2406312" y="74381"/>
          <a:ext cx="6674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62B5752F-3BB6-43AA-A15E-9718CDD99D0D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EE914C91-50BD-4838-9557-20C86462CC1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36AE7AF8-645C-4EED-ACA1-0CB8819C64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206C5D1C-2772-4532-8F24-EF957DD9E4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1865E03C-28C4-455F-832A-892D4F6C17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361236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88D25E5-FF58-4073-9484-BF53CE32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FBC4C040-78CE-440C-9147-007CF20B2F6F}"/>
            </a:ext>
          </a:extLst>
        </xdr:cNvPr>
        <xdr:cNvGrpSpPr/>
      </xdr:nvGrpSpPr>
      <xdr:grpSpPr>
        <a:xfrm>
          <a:off x="2406312" y="74381"/>
          <a:ext cx="6674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43FF94D-0DBA-4C98-9C56-7FDEF09B4152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6166C006-CF03-4CB7-B38C-3B468ED6E46C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EBFA37CA-C463-4EAF-8936-1C60C543231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8724D28D-2AA0-4577-8A18-DF171D2EE6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FCF4EB73-1393-4952-A538-B842C0F879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361236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DA17710-0450-4E8B-9249-FAED44EE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6757BE1F-A413-4DC3-BB28-C25179D0DA4A}"/>
            </a:ext>
          </a:extLst>
        </xdr:cNvPr>
        <xdr:cNvGrpSpPr/>
      </xdr:nvGrpSpPr>
      <xdr:grpSpPr>
        <a:xfrm>
          <a:off x="2406312" y="74381"/>
          <a:ext cx="67440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66DC882-3518-4E54-A156-5FA26D00D60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48E0E572-C9CD-4FD9-828D-0C706554401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0A0116C6-F4F7-4292-B5B3-4CAF441B81D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DBD36DD1-642E-4968-A232-C9C1BFD753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83203424-D646-48FD-90EA-92ED022927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oneCellAnchor>
    <xdr:from>
      <xdr:col>2</xdr:col>
      <xdr:colOff>819150</xdr:colOff>
      <xdr:row>0</xdr:row>
      <xdr:rowOff>190500</xdr:rowOff>
    </xdr:from>
    <xdr:ext cx="5714286" cy="1542857"/>
    <xdr:pic>
      <xdr:nvPicPr>
        <xdr:cNvPr id="11" name="Picture 10">
          <a:extLst>
            <a:ext uri="{FF2B5EF4-FFF2-40B4-BE49-F238E27FC236}">
              <a16:creationId xmlns:a16="http://schemas.microsoft.com/office/drawing/2014/main" id="{D23244B6-60CB-4BC3-9153-1F1BFED53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one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1DD5FE-45B1-4572-9D33-C1DDB41B4F88}"/>
            </a:ext>
          </a:extLst>
        </xdr:cNvPr>
        <xdr:cNvGrpSpPr/>
      </xdr:nvGrpSpPr>
      <xdr:grpSpPr>
        <a:xfrm>
          <a:off x="2406312" y="74381"/>
          <a:ext cx="667418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A1FD40A8-63B0-4E4B-8BB3-7E67CEF1BD2C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FBE421C8-8597-4B6A-B422-0F7DF9579D58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E793403E-0D52-48DB-9152-6E93E8830C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29D7D6FD-1893-4418-AFD6-5E48449FFD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4E6DD7CD-6D71-4C27-9A94-5C4E3E51DC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361236</xdr:colOff>
      <xdr:row>7</xdr:row>
      <xdr:rowOff>63307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8086C4-EE43-4A68-83F9-B233BE23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984083-1422-4E83-D48E-57480628C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2883</xdr:rowOff>
    </xdr:from>
    <xdr:to>
      <xdr:col>11</xdr:col>
      <xdr:colOff>203200</xdr:colOff>
      <xdr:row>7</xdr:row>
      <xdr:rowOff>209035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E3265-611D-45F1-BFC7-8D313FB48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317" y="2883"/>
          <a:ext cx="7780866" cy="183598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2883</xdr:rowOff>
    </xdr:from>
    <xdr:to>
      <xdr:col>11</xdr:col>
      <xdr:colOff>203200</xdr:colOff>
      <xdr:row>7</xdr:row>
      <xdr:rowOff>209035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B88826-216A-49F6-A910-5AFFBCB09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2883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5742E4-451D-2010-4C84-B4FC63CF9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6350</xdr:rowOff>
    </xdr:from>
    <xdr:to>
      <xdr:col>11</xdr:col>
      <xdr:colOff>279400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722192-84BC-27DB-7459-2D860579A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C89F408-C362-8B8B-B82A-A5F500176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A2B862-95A9-128F-AAEA-626C9E462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349250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A690E7-091B-AA72-C162-8F264879C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0</xdr:row>
      <xdr:rowOff>35280</xdr:rowOff>
    </xdr:from>
    <xdr:to>
      <xdr:col>11</xdr:col>
      <xdr:colOff>793750</xdr:colOff>
      <xdr:row>7</xdr:row>
      <xdr:rowOff>282225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C0E974-5373-4813-802B-3308375FB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0" y="35280"/>
          <a:ext cx="7772400" cy="189159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5FB8D93-F40B-C35A-8373-FC6A69584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368300</xdr:colOff>
      <xdr:row>7</xdr:row>
      <xdr:rowOff>177800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EBFFCA-CFB2-1517-C2BA-C942391AC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6891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41E9D6-824D-4EDB-960F-C0127A8AC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622300</xdr:colOff>
      <xdr:row>0</xdr:row>
      <xdr:rowOff>0</xdr:rowOff>
    </xdr:from>
    <xdr:to>
      <xdr:col>11</xdr:col>
      <xdr:colOff>266700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2DA90A-1885-2333-9B5C-694DED44E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8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438150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B2C62B0-50BC-77ED-7E99-E1AD50F98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9AC885-5A95-D5EC-38DC-08022B272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3AC6D5-DC89-317C-5B2C-177B6CA43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0</xdr:row>
      <xdr:rowOff>35280</xdr:rowOff>
    </xdr:from>
    <xdr:to>
      <xdr:col>11</xdr:col>
      <xdr:colOff>793750</xdr:colOff>
      <xdr:row>7</xdr:row>
      <xdr:rowOff>282225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8C9EEC-32CE-442C-9252-E8D267292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539" y="35280"/>
          <a:ext cx="7769578" cy="1876778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68DB5B-F46C-138E-E5D0-164F6D05A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6BD5D7-761B-1FF8-48A6-50B79284D6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10A23C-2A3B-4F52-99E1-132D98C57F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30AC85B-483A-4A30-9A9B-2160E9A2B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42DE59-873B-DAD1-A998-29DE7CD9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F58364-C094-FCD9-8C23-3AAAC133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CA89448-50BF-744F-92AF-ACFDE12A3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31750</xdr:rowOff>
    </xdr:from>
    <xdr:to>
      <xdr:col>11</xdr:col>
      <xdr:colOff>393700</xdr:colOff>
      <xdr:row>7</xdr:row>
      <xdr:rowOff>237902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DB76D-35B4-8DBC-0A9E-EE5EBEC39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3175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9C595E0-302C-6567-C518-49A777283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56E082-FAAC-4CF9-8E39-AF78031AF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EBCE76-63C8-4C4E-B353-A55C7C028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529170</xdr:colOff>
      <xdr:row>0</xdr:row>
      <xdr:rowOff>0</xdr:rowOff>
    </xdr:from>
    <xdr:to>
      <xdr:col>11</xdr:col>
      <xdr:colOff>357015</xdr:colOff>
      <xdr:row>7</xdr:row>
      <xdr:rowOff>220969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A3ACA4-E14B-1D02-14AD-654B0C573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059" y="0"/>
          <a:ext cx="7772400" cy="185080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14F9B-DCD4-48DA-90B2-744AC5132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D11E66-0E80-45A5-8DD0-4EF6D55F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9F95033-32BD-47D7-8735-71858F54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DA6599-6B7A-4DE4-ACA8-0AD2176DD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16AB23-CEB1-FB71-D672-2330CD26D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6C1508-9768-1193-8A36-F136B1485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2A243A5-3885-4D4E-9C95-F3F0A8BA3C4F}"/>
            </a:ext>
          </a:extLst>
        </xdr:cNvPr>
        <xdr:cNvGrpSpPr/>
      </xdr:nvGrpSpPr>
      <xdr:grpSpPr>
        <a:xfrm>
          <a:off x="1493158" y="199571"/>
          <a:ext cx="746126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769F788C-440E-460F-B775-00DB47AF3A2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EB015E6C-FC4B-4A5C-A75B-785FF44962C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342900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A9CAA3-D93B-2732-D51A-FE779DA03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273050</xdr:colOff>
      <xdr:row>0</xdr:row>
      <xdr:rowOff>0</xdr:rowOff>
    </xdr:from>
    <xdr:to>
      <xdr:col>11</xdr:col>
      <xdr:colOff>317500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E0341F-84EB-EF65-5AE2-44CB98189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2F242F8D-B577-4703-B9D8-C4AD575ECA95}"/>
            </a:ext>
          </a:extLst>
        </xdr:cNvPr>
        <xdr:cNvGrpSpPr/>
      </xdr:nvGrpSpPr>
      <xdr:grpSpPr>
        <a:xfrm>
          <a:off x="2406312" y="74381"/>
          <a:ext cx="67440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5FFE3FB-D1F4-4E04-B957-604C788A0F7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B5C3C60A-C9E9-46C2-89B2-3422F39CDC02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0FF07D68-7E12-4A92-9ADA-F4D41D4170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425A46AC-8878-4C3A-85E8-9FAB70538A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790E4130-0083-4F84-B6FF-C704C616BB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291386</xdr:colOff>
      <xdr:row>7</xdr:row>
      <xdr:rowOff>63307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6F93282-1D43-41EE-9CDC-A3514B204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25400</xdr:rowOff>
    </xdr:from>
    <xdr:to>
      <xdr:col>11</xdr:col>
      <xdr:colOff>539750</xdr:colOff>
      <xdr:row>7</xdr:row>
      <xdr:rowOff>231552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0EC186-2543-3550-0548-37B073174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25400"/>
          <a:ext cx="7772400" cy="18508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1E2CD-1F8E-6EB5-960B-ED12BA749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393699</xdr:colOff>
      <xdr:row>0</xdr:row>
      <xdr:rowOff>0</xdr:rowOff>
    </xdr:from>
    <xdr:to>
      <xdr:col>11</xdr:col>
      <xdr:colOff>500944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747515E-8EC7-4045-A9C9-9FEA14C2E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9999" y="0"/>
          <a:ext cx="7771695" cy="1865619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438150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64068EA-A7F6-4616-B0BB-53D8BBAD1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7DA39C-BD33-4143-7C84-E4F37E2D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21BD3B-CD9C-CE62-268D-9546D5DD6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137881</xdr:rowOff>
    </xdr:from>
    <xdr:to>
      <xdr:col>10</xdr:col>
      <xdr:colOff>679449</xdr:colOff>
      <xdr:row>7</xdr:row>
      <xdr:rowOff>168690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5F1D2CD5-6465-47FB-BBCF-78E847FCCA3D}"/>
            </a:ext>
          </a:extLst>
        </xdr:cNvPr>
        <xdr:cNvGrpSpPr/>
      </xdr:nvGrpSpPr>
      <xdr:grpSpPr>
        <a:xfrm>
          <a:off x="2406312" y="137881"/>
          <a:ext cx="6382087" cy="1675459"/>
          <a:chOff x="1936412" y="131531"/>
          <a:chExt cx="6268753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9C5545C-6632-480E-9FC1-878F29F7DE3B}"/>
              </a:ext>
            </a:extLst>
          </xdr:cNvPr>
          <xdr:cNvSpPr txBox="1"/>
        </xdr:nvSpPr>
        <xdr:spPr>
          <a:xfrm>
            <a:off x="2943956" y="239288"/>
            <a:ext cx="5261209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B71A140C-4CDE-4B26-B881-9926D8BA869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8E65879E-19E9-4262-95EE-870FCCCE49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484115" y="9842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B789C2D4-7B50-455C-A1D9-14F8AB21C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71800" y="100330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539B90A1-9627-4B1C-9DEE-ECE3AE1054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135906" y="1022350"/>
            <a:ext cx="330200" cy="330200"/>
          </a:xfrm>
          <a:prstGeom prst="rect">
            <a:avLst/>
          </a:prstGeom>
        </xdr:spPr>
      </xdr:pic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B0B8A-5AE7-A994-BB50-9FD4B6A9D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B41889B-3950-5B6D-156C-62D46B505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265465C-9C52-AD2A-C3F1-67B9B2BE4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BC321B-22A8-6836-9C60-9DA659A41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349250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8C817C-98CE-1AF4-5140-0E210562C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AD45D42-E652-4706-839A-BA851FB57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273050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5CEAD-17E5-4798-898D-6B9B6D7DC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FA4B3-6D6A-440D-919D-4024D7756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8EF5E8E-0583-48EE-B2B1-B44D8F1A7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960E93-9246-BBF7-C51C-A9192C621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F9B0BE4-012C-49AD-A6AD-EF7994DB2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D33D26-A424-1159-9B1C-7D0EA3F4C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86D558-1BF4-01A4-BC79-B1682EC0E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432BE5-8E6A-461B-8C25-8934D3C7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438150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6DDCC1D-F04D-5DB6-B1C2-144928C21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60621E-5173-481C-AEFF-2BA7A4875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91F61E-3307-6C9A-9786-C78CB70F6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0</xdr:row>
      <xdr:rowOff>0</xdr:rowOff>
    </xdr:from>
    <xdr:to>
      <xdr:col>11</xdr:col>
      <xdr:colOff>358422</xdr:colOff>
      <xdr:row>7</xdr:row>
      <xdr:rowOff>220969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87523E-C791-E0AB-92A4-7FDC50921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" y="0"/>
          <a:ext cx="7768872" cy="186561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5DC161-C043-74DC-DF9E-20238201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856E4B-652A-EC1C-5146-C5C6A915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CF737C-C3D9-E10D-5B11-0B578CD7C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45AEF20-A099-CEFD-FC9B-DC55CF69F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279400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071CD-98B3-6091-5416-317065E26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49D561-4759-D1D3-8D56-50EC60B34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D5C078-017A-767C-A668-449390CF7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431855-09C0-4B96-8C69-7F5046F38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E06A796-3EC6-4712-AEB7-D83E631BC164}"/>
            </a:ext>
          </a:extLst>
        </xdr:cNvPr>
        <xdr:cNvGrpSpPr/>
      </xdr:nvGrpSpPr>
      <xdr:grpSpPr>
        <a:xfrm>
          <a:off x="1493158" y="199571"/>
          <a:ext cx="74549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26A5D077-B91D-4674-A1A2-621ABEDF3B4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9383CFB-4436-49B8-9CF1-4DD106735532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96704006,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AF0BD2-ABF6-4D04-A131-38D0E7DAA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8BAFA8D-69D2-F599-8FB7-B92350651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361950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5E30678-6EFB-40D3-8EA0-7E4F1B0DD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438150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4CF344-2C36-7916-5027-AD831EC4A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8217FB-3C35-CD84-869E-80113C5C2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F0812CAB-F336-4BB3-BCE6-7D89005531D9}"/>
            </a:ext>
          </a:extLst>
        </xdr:cNvPr>
        <xdr:cNvGrpSpPr/>
      </xdr:nvGrpSpPr>
      <xdr:grpSpPr>
        <a:xfrm>
          <a:off x="2406312" y="74381"/>
          <a:ext cx="67440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C0E0E6A-5632-46FA-BEB6-CF03C5533E23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56C364EA-DD5D-404E-AD46-35A9D45420B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6492018F-CF6F-47DF-8F43-84DB618196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9C887347-BF0B-4FB1-A500-1C67349F70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C172A2F1-126A-4532-ADE4-355E47330B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291386</xdr:colOff>
      <xdr:row>7</xdr:row>
      <xdr:rowOff>63307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B8BC43E8-D9F8-40B7-B752-86B87D3E8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2EF84F-52E0-44B1-839C-BB36A739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B6214-6AEC-BD01-79AA-AF7CB28F9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082D8E-86FE-2AAF-D1BD-3083FECFF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349250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E32B7C-66E2-4880-BB11-30961E2F5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BBF9CE-E440-6297-472F-9B6F5D3572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148526-D1F0-4F26-A471-69DA12595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354DC1-8788-45A3-BB2E-9E9476253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F241A9-F269-E3A2-0817-13A2AF6DE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222250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85BAAB-813D-BF59-83BC-1098674C8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9E2BAA-6B9D-4622-82DA-5A5B9583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0ABDD1-D12A-7A10-8145-5377A6D5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E4082A37-3FBD-425F-A4DE-EF6CB7DA4817}"/>
            </a:ext>
          </a:extLst>
        </xdr:cNvPr>
        <xdr:cNvGrpSpPr/>
      </xdr:nvGrpSpPr>
      <xdr:grpSpPr>
        <a:xfrm>
          <a:off x="2406312" y="74381"/>
          <a:ext cx="655353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628D9CFD-9B04-4A0C-B4EE-76097D7575F6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D723755F-8195-4FF3-8A89-2B69C6DDB0D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F05B306C-B819-4FAD-A6FB-1A08699276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E2136BCB-EC25-4733-B0CE-158D2E787C9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56D338C5-7CCA-4162-928A-E18B53260D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481886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67F63D4-6EC3-4CE2-B872-B59662998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CEF9D437-95B1-423B-88F0-B723BFA8B3A3}"/>
            </a:ext>
          </a:extLst>
        </xdr:cNvPr>
        <xdr:cNvGrpSpPr/>
      </xdr:nvGrpSpPr>
      <xdr:grpSpPr>
        <a:xfrm>
          <a:off x="2406312" y="74381"/>
          <a:ext cx="6585287" cy="1675459"/>
          <a:chOff x="1936412" y="131531"/>
          <a:chExt cx="6656021" cy="1675459"/>
        </a:xfrm>
      </xdr:grpSpPr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1E51B683-D63D-462C-9E5D-BAFFAD5EFCA5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1" name="Rectangle 10">
            <a:extLst>
              <a:ext uri="{FF2B5EF4-FFF2-40B4-BE49-F238E27FC236}">
                <a16:creationId xmlns:a16="http://schemas.microsoft.com/office/drawing/2014/main" id="{5C0628D4-DF4D-4A75-892B-054B5CF2B7F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2" name="Graphic 11" descr="Telephone outline">
            <a:extLst>
              <a:ext uri="{FF2B5EF4-FFF2-40B4-BE49-F238E27FC236}">
                <a16:creationId xmlns:a16="http://schemas.microsoft.com/office/drawing/2014/main" id="{7A73E8BC-C9A9-4BB5-BB1F-7C83BFEB33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3" name="Graphic 12" descr="Smart Phone outline">
            <a:extLst>
              <a:ext uri="{FF2B5EF4-FFF2-40B4-BE49-F238E27FC236}">
                <a16:creationId xmlns:a16="http://schemas.microsoft.com/office/drawing/2014/main" id="{53E8B17E-D129-4B7E-9421-35B08A592A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4" name="Graphic 13" descr="Printer outline">
            <a:extLst>
              <a:ext uri="{FF2B5EF4-FFF2-40B4-BE49-F238E27FC236}">
                <a16:creationId xmlns:a16="http://schemas.microsoft.com/office/drawing/2014/main" id="{998D3312-84A3-462B-A795-CC18D5B338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450136</xdr:colOff>
      <xdr:row>7</xdr:row>
      <xdr:rowOff>63307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91B3BA6-0A5F-46B9-BD0D-6165B7292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A7B4C3-EDD8-0431-AF49-5DA7F3893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D6A7FE7-1F9F-835B-0AB1-B6B9D92F1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D0BE6A4-8B8C-4B24-81D7-65E7A979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6073DC8-210B-1487-6D2F-ECBBF63C6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sse\AppData\Local\Microsoft\Windows\INetCache\Content.Outlook\QQFSZK95\Invoice%20(GST)%20-%20n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essertorigin.sg:2078/Daily%20Job/Invoice%20(GST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61"/>
      <sheetName val="Sales Master"/>
      <sheetName val="Delivery Location"/>
      <sheetName val="#193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04-33 Picking List"/>
      <sheetName val="#04-36 Picking List"/>
      <sheetName val="好运 "/>
      <sheetName val="NY LIST"/>
      <sheetName val="Product Master"/>
      <sheetName val="Teck Wah"/>
      <sheetName val="order list new"/>
      <sheetName val="FOODGLE"/>
      <sheetName val="Yuan Yuan"/>
      <sheetName val="BLK 248"/>
      <sheetName val="ORDER LIST"/>
      <sheetName val="#94"/>
      <sheetName val="#34"/>
      <sheetName val="#90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169"/>
      <sheetName val="#80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148"/>
      <sheetName val="#13"/>
      <sheetName val="#101"/>
      <sheetName val="#26"/>
      <sheetName val="#33"/>
      <sheetName val="#50"/>
      <sheetName val="#89"/>
      <sheetName val="#135"/>
      <sheetName val="#63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49 (2)"/>
      <sheetName val="#36"/>
      <sheetName val="#56"/>
      <sheetName val="#55"/>
      <sheetName val="#54"/>
      <sheetName val="#92"/>
      <sheetName val="#79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</sheetNames>
    <sheetDataSet>
      <sheetData sheetId="0" refreshError="1"/>
      <sheetData sheetId="1" refreshError="1"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5 KGS/TUB</v>
          </cell>
          <cell r="G4" t="str">
            <v>Tub</v>
          </cell>
          <cell r="H4">
            <v>30</v>
          </cell>
          <cell r="I4">
            <v>33</v>
          </cell>
          <cell r="J4">
            <v>30</v>
          </cell>
          <cell r="AO4">
            <v>30</v>
          </cell>
          <cell r="AP4">
            <v>30</v>
          </cell>
          <cell r="AR4">
            <v>30</v>
          </cell>
          <cell r="AT4">
            <v>30</v>
          </cell>
          <cell r="AU4">
            <v>30</v>
          </cell>
          <cell r="AV4">
            <v>30</v>
          </cell>
          <cell r="AX4">
            <v>30</v>
          </cell>
          <cell r="AY4">
            <v>30</v>
          </cell>
          <cell r="AZ4">
            <v>30</v>
          </cell>
          <cell r="BC4">
            <v>30</v>
          </cell>
          <cell r="BU4">
            <v>34</v>
          </cell>
          <cell r="BX4">
            <v>30</v>
          </cell>
          <cell r="DA4">
            <v>20.27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BOX/盒</v>
          </cell>
          <cell r="G5" t="str">
            <v>Box</v>
          </cell>
          <cell r="CF5">
            <v>8</v>
          </cell>
          <cell r="DA5">
            <v>4.0999999999999996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KGS/PKT</v>
          </cell>
          <cell r="DA6">
            <v>19</v>
          </cell>
        </row>
        <row r="7">
          <cell r="B7" t="str">
            <v>M1002</v>
          </cell>
          <cell r="C7" t="str">
            <v>Fresh Soursop 红毛榴莲(无)</v>
          </cell>
          <cell r="D7" t="str">
            <v>Singapore</v>
          </cell>
          <cell r="E7" t="str">
            <v>DO!</v>
          </cell>
          <cell r="F7" t="str">
            <v>5 KGS/TUB</v>
          </cell>
          <cell r="G7" t="str">
            <v>Tub</v>
          </cell>
          <cell r="H7">
            <v>35</v>
          </cell>
          <cell r="I7">
            <v>35</v>
          </cell>
          <cell r="J7">
            <v>35</v>
          </cell>
          <cell r="S7">
            <v>38</v>
          </cell>
          <cell r="AP7">
            <v>35</v>
          </cell>
          <cell r="AS7">
            <v>35</v>
          </cell>
          <cell r="AZ7">
            <v>35</v>
          </cell>
          <cell r="BC7">
            <v>35</v>
          </cell>
          <cell r="BP7">
            <v>36</v>
          </cell>
          <cell r="DA7">
            <v>24.040624999999999</v>
          </cell>
        </row>
        <row r="8">
          <cell r="B8" t="str">
            <v>M1002A</v>
          </cell>
          <cell r="C8" t="str">
            <v>Fresh Soursop 红毛榴莲(无)</v>
          </cell>
          <cell r="D8" t="str">
            <v>Singapore</v>
          </cell>
          <cell r="E8" t="str">
            <v>DO!</v>
          </cell>
          <cell r="F8" t="str">
            <v>BOX/盒</v>
          </cell>
          <cell r="G8" t="str">
            <v>Box</v>
          </cell>
          <cell r="H8">
            <v>7</v>
          </cell>
          <cell r="S8">
            <v>10</v>
          </cell>
          <cell r="BK8">
            <v>9</v>
          </cell>
          <cell r="BT8">
            <v>7</v>
          </cell>
          <cell r="BY8">
            <v>10</v>
          </cell>
          <cell r="CF8">
            <v>10</v>
          </cell>
          <cell r="DA8">
            <v>4.8081249999999995</v>
          </cell>
        </row>
        <row r="9">
          <cell r="B9" t="str">
            <v>M1002R</v>
          </cell>
          <cell r="C9" t="str">
            <v>Fresh Soursop 红毛榴莲(无)</v>
          </cell>
          <cell r="E9" t="str">
            <v>Malaysia</v>
          </cell>
          <cell r="F9" t="str">
            <v>5 KGS/PKT</v>
          </cell>
          <cell r="DA9">
            <v>22</v>
          </cell>
        </row>
        <row r="10">
          <cell r="B10" t="str">
            <v>M1003</v>
          </cell>
          <cell r="C10" t="str">
            <v>Durian Puree 榴莲</v>
          </cell>
          <cell r="D10" t="str">
            <v>Singapore</v>
          </cell>
          <cell r="E10" t="str">
            <v>DO!</v>
          </cell>
          <cell r="F10" t="str">
            <v>BOX/盒</v>
          </cell>
          <cell r="G10" t="str">
            <v>Box</v>
          </cell>
          <cell r="H10">
            <v>6</v>
          </cell>
          <cell r="I10">
            <v>8</v>
          </cell>
          <cell r="J10">
            <v>7</v>
          </cell>
          <cell r="N10">
            <v>7</v>
          </cell>
          <cell r="O10">
            <v>7</v>
          </cell>
          <cell r="P10">
            <v>7</v>
          </cell>
          <cell r="Q10">
            <v>6</v>
          </cell>
          <cell r="S10">
            <v>7</v>
          </cell>
          <cell r="AC10">
            <v>7</v>
          </cell>
          <cell r="AP10">
            <v>7</v>
          </cell>
          <cell r="AQ10">
            <v>7</v>
          </cell>
          <cell r="AR10">
            <v>7</v>
          </cell>
          <cell r="AS10">
            <v>7</v>
          </cell>
          <cell r="AT10">
            <v>7</v>
          </cell>
          <cell r="AU10">
            <v>7</v>
          </cell>
          <cell r="AV10">
            <v>7</v>
          </cell>
          <cell r="AW10">
            <v>7</v>
          </cell>
          <cell r="AX10">
            <v>7</v>
          </cell>
          <cell r="AY10">
            <v>7</v>
          </cell>
          <cell r="AZ10">
            <v>7</v>
          </cell>
          <cell r="BA10">
            <v>7</v>
          </cell>
          <cell r="BC10">
            <v>7</v>
          </cell>
          <cell r="BT10">
            <v>7</v>
          </cell>
          <cell r="BX10">
            <v>7</v>
          </cell>
          <cell r="BZ10">
            <v>7</v>
          </cell>
          <cell r="DA10">
            <v>4.95</v>
          </cell>
        </row>
        <row r="11">
          <cell r="B11" t="str">
            <v>M1003R</v>
          </cell>
          <cell r="C11" t="str">
            <v>Durian Puree 榴莲</v>
          </cell>
          <cell r="E11" t="str">
            <v>Malaysia</v>
          </cell>
          <cell r="F11" t="str">
            <v>2 KG/PKT</v>
          </cell>
          <cell r="DA11">
            <v>26</v>
          </cell>
        </row>
        <row r="12">
          <cell r="B12" t="str">
            <v>M1004</v>
          </cell>
          <cell r="C12" t="str">
            <v>Mango Puree芒果</v>
          </cell>
          <cell r="D12" t="str">
            <v>Singapore</v>
          </cell>
          <cell r="E12" t="str">
            <v>DO!</v>
          </cell>
          <cell r="F12" t="str">
            <v>BOX/盒</v>
          </cell>
          <cell r="G12" t="str">
            <v>Box</v>
          </cell>
          <cell r="H12">
            <v>6</v>
          </cell>
          <cell r="I12">
            <v>7</v>
          </cell>
          <cell r="J12">
            <v>7</v>
          </cell>
          <cell r="N12">
            <v>6</v>
          </cell>
          <cell r="O12">
            <v>7</v>
          </cell>
          <cell r="P12">
            <v>6</v>
          </cell>
          <cell r="Q12">
            <v>6</v>
          </cell>
          <cell r="S12">
            <v>7</v>
          </cell>
          <cell r="AC12">
            <v>7</v>
          </cell>
          <cell r="AP12">
            <v>7</v>
          </cell>
          <cell r="AQ12">
            <v>7</v>
          </cell>
          <cell r="AR12">
            <v>7</v>
          </cell>
          <cell r="AS12">
            <v>7</v>
          </cell>
          <cell r="AT12">
            <v>7</v>
          </cell>
          <cell r="AU12">
            <v>7</v>
          </cell>
          <cell r="AV12">
            <v>7</v>
          </cell>
          <cell r="AW12">
            <v>7</v>
          </cell>
          <cell r="AX12">
            <v>7</v>
          </cell>
          <cell r="AY12">
            <v>7</v>
          </cell>
          <cell r="AZ12">
            <v>7</v>
          </cell>
          <cell r="BA12">
            <v>7</v>
          </cell>
          <cell r="BB12">
            <v>7</v>
          </cell>
          <cell r="BC12">
            <v>7</v>
          </cell>
          <cell r="BT12">
            <v>7</v>
          </cell>
          <cell r="BX12">
            <v>7</v>
          </cell>
          <cell r="BY12">
            <v>7</v>
          </cell>
          <cell r="BZ12">
            <v>7</v>
          </cell>
          <cell r="DA12">
            <v>2</v>
          </cell>
        </row>
        <row r="13">
          <cell r="B13" t="str">
            <v>M1005</v>
          </cell>
          <cell r="C13" t="str">
            <v>Strawberry Puree草莓</v>
          </cell>
          <cell r="D13" t="str">
            <v>Singapore</v>
          </cell>
          <cell r="E13" t="str">
            <v>DO!</v>
          </cell>
          <cell r="F13" t="str">
            <v>BOX/盒</v>
          </cell>
          <cell r="G13" t="str">
            <v>Box</v>
          </cell>
          <cell r="H13">
            <v>6.3684210526315788</v>
          </cell>
          <cell r="I13">
            <v>8</v>
          </cell>
          <cell r="J13">
            <v>6</v>
          </cell>
          <cell r="O13">
            <v>7</v>
          </cell>
          <cell r="P13">
            <v>7</v>
          </cell>
          <cell r="Q13">
            <v>6</v>
          </cell>
          <cell r="W13">
            <v>8</v>
          </cell>
          <cell r="AC13">
            <v>7</v>
          </cell>
          <cell r="AP13">
            <v>6</v>
          </cell>
          <cell r="AQ13">
            <v>6</v>
          </cell>
          <cell r="AR13">
            <v>6</v>
          </cell>
          <cell r="AT13">
            <v>6</v>
          </cell>
          <cell r="AU13">
            <v>6</v>
          </cell>
          <cell r="AV13">
            <v>6</v>
          </cell>
          <cell r="AW13">
            <v>6</v>
          </cell>
          <cell r="AX13">
            <v>6</v>
          </cell>
          <cell r="AY13">
            <v>6</v>
          </cell>
          <cell r="AZ13">
            <v>6</v>
          </cell>
          <cell r="BA13">
            <v>6</v>
          </cell>
          <cell r="BC13">
            <v>6</v>
          </cell>
          <cell r="BY13">
            <v>9</v>
          </cell>
          <cell r="DA13">
            <v>3</v>
          </cell>
        </row>
        <row r="14">
          <cell r="B14" t="str">
            <v>M1006</v>
          </cell>
          <cell r="C14" t="str">
            <v>Guava Puree番石榴</v>
          </cell>
          <cell r="D14" t="str">
            <v>Singapore</v>
          </cell>
          <cell r="E14" t="str">
            <v>-</v>
          </cell>
          <cell r="F14" t="str">
            <v>BOX/盒</v>
          </cell>
          <cell r="G14" t="str">
            <v>Box</v>
          </cell>
          <cell r="H14">
            <v>6</v>
          </cell>
          <cell r="I14">
            <v>0</v>
          </cell>
          <cell r="O14">
            <v>6</v>
          </cell>
          <cell r="P14">
            <v>6</v>
          </cell>
          <cell r="Q14">
            <v>7</v>
          </cell>
          <cell r="AC14">
            <v>6</v>
          </cell>
          <cell r="DA14">
            <v>5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  <cell r="G15" t="str">
            <v>Box</v>
          </cell>
          <cell r="H15">
            <v>7.6</v>
          </cell>
          <cell r="I15">
            <v>10</v>
          </cell>
          <cell r="O15">
            <v>7</v>
          </cell>
          <cell r="P15">
            <v>7</v>
          </cell>
          <cell r="Q15">
            <v>7</v>
          </cell>
          <cell r="AC15">
            <v>7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  <cell r="G16" t="str">
            <v>Box</v>
          </cell>
          <cell r="H16">
            <v>8</v>
          </cell>
          <cell r="I16">
            <v>12</v>
          </cell>
          <cell r="AC16">
            <v>8</v>
          </cell>
          <cell r="DA16">
            <v>8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  <cell r="G17" t="str">
            <v>Box</v>
          </cell>
          <cell r="H17">
            <v>5.5</v>
          </cell>
          <cell r="I17">
            <v>12</v>
          </cell>
          <cell r="AC17">
            <v>8</v>
          </cell>
          <cell r="DA17">
            <v>5.5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  <cell r="G18" t="str">
            <v>Box</v>
          </cell>
          <cell r="H18">
            <v>8</v>
          </cell>
          <cell r="I18">
            <v>0</v>
          </cell>
          <cell r="AC18">
            <v>8</v>
          </cell>
          <cell r="AJ18">
            <v>9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  <cell r="G19" t="str">
            <v>Box</v>
          </cell>
          <cell r="H19">
            <v>0</v>
          </cell>
          <cell r="I19">
            <v>0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1KG/PKT</v>
          </cell>
          <cell r="G20" t="str">
            <v>Pkt</v>
          </cell>
          <cell r="H20">
            <v>7</v>
          </cell>
          <cell r="AC20">
            <v>7</v>
          </cell>
          <cell r="DA20">
            <v>6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GM/BAG</v>
          </cell>
          <cell r="G21" t="str">
            <v>Bag</v>
          </cell>
          <cell r="H21">
            <v>6</v>
          </cell>
          <cell r="I21">
            <v>6</v>
          </cell>
          <cell r="J21">
            <v>6</v>
          </cell>
          <cell r="O21">
            <v>6</v>
          </cell>
          <cell r="P21">
            <v>7</v>
          </cell>
          <cell r="Q21">
            <v>6</v>
          </cell>
          <cell r="S21">
            <v>7</v>
          </cell>
          <cell r="U21">
            <v>6</v>
          </cell>
          <cell r="V21">
            <v>6</v>
          </cell>
          <cell r="X21">
            <v>8</v>
          </cell>
          <cell r="Y21">
            <v>6.5</v>
          </cell>
          <cell r="Z21">
            <v>6.5</v>
          </cell>
          <cell r="AC21">
            <v>6</v>
          </cell>
          <cell r="AF21">
            <v>6</v>
          </cell>
          <cell r="AH21">
            <v>7</v>
          </cell>
          <cell r="AJ21">
            <v>6.5</v>
          </cell>
          <cell r="AN21">
            <v>5</v>
          </cell>
          <cell r="AO21">
            <v>6</v>
          </cell>
          <cell r="AP21">
            <v>6</v>
          </cell>
          <cell r="AQ21">
            <v>6</v>
          </cell>
          <cell r="AR21">
            <v>6</v>
          </cell>
          <cell r="AT21">
            <v>6</v>
          </cell>
          <cell r="AU21">
            <v>6</v>
          </cell>
          <cell r="AV21">
            <v>6</v>
          </cell>
          <cell r="AW21">
            <v>6</v>
          </cell>
          <cell r="AX21">
            <v>6</v>
          </cell>
          <cell r="AY21">
            <v>6</v>
          </cell>
          <cell r="AZ21">
            <v>6</v>
          </cell>
          <cell r="BA21">
            <v>6</v>
          </cell>
          <cell r="BC21">
            <v>6</v>
          </cell>
          <cell r="BX21">
            <v>6</v>
          </cell>
          <cell r="BZ21">
            <v>7</v>
          </cell>
          <cell r="DA21">
            <v>0.71</v>
          </cell>
        </row>
        <row r="22">
          <cell r="B22" t="str">
            <v>M1014</v>
          </cell>
          <cell r="C22" t="str">
            <v>Chendol浆咯</v>
          </cell>
          <cell r="D22" t="str">
            <v>Singapore</v>
          </cell>
          <cell r="E22" t="str">
            <v>DO!</v>
          </cell>
          <cell r="F22" t="str">
            <v>NW(2.2:0.8) 3 KG/BAG</v>
          </cell>
          <cell r="G22" t="str">
            <v>Bag</v>
          </cell>
          <cell r="H22">
            <v>6.5</v>
          </cell>
          <cell r="I22">
            <v>6.5</v>
          </cell>
          <cell r="J22">
            <v>6.5</v>
          </cell>
          <cell r="L22">
            <v>7.5</v>
          </cell>
          <cell r="M22">
            <v>7.5</v>
          </cell>
          <cell r="O22">
            <v>7.5</v>
          </cell>
          <cell r="P22">
            <v>7.5</v>
          </cell>
          <cell r="Q22">
            <v>8</v>
          </cell>
          <cell r="S22">
            <v>7.5</v>
          </cell>
          <cell r="U22">
            <v>8</v>
          </cell>
          <cell r="V22">
            <v>6.5</v>
          </cell>
          <cell r="Z22">
            <v>7</v>
          </cell>
          <cell r="AB22">
            <v>7.5</v>
          </cell>
          <cell r="AC22">
            <v>7.5</v>
          </cell>
          <cell r="AJ22">
            <v>7</v>
          </cell>
          <cell r="AM22">
            <v>7</v>
          </cell>
          <cell r="AP22">
            <v>6.5</v>
          </cell>
          <cell r="AQ22">
            <v>6.5</v>
          </cell>
          <cell r="AR22">
            <v>6.5</v>
          </cell>
          <cell r="AT22">
            <v>6.5</v>
          </cell>
          <cell r="AU22">
            <v>6.5</v>
          </cell>
          <cell r="AV22">
            <v>6.5</v>
          </cell>
          <cell r="AW22">
            <v>6.5</v>
          </cell>
          <cell r="AX22">
            <v>6.5</v>
          </cell>
          <cell r="AY22">
            <v>6.5</v>
          </cell>
          <cell r="AZ22">
            <v>6.5</v>
          </cell>
          <cell r="BA22">
            <v>6.5</v>
          </cell>
          <cell r="BC22">
            <v>6.5</v>
          </cell>
          <cell r="BU22">
            <v>7</v>
          </cell>
          <cell r="BX22">
            <v>6.5</v>
          </cell>
          <cell r="BZ22">
            <v>7</v>
          </cell>
          <cell r="CB22">
            <v>7</v>
          </cell>
          <cell r="CC22">
            <v>7</v>
          </cell>
          <cell r="DA22">
            <v>1.85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  <cell r="G23" t="str">
            <v>Bag</v>
          </cell>
          <cell r="I23">
            <v>10</v>
          </cell>
          <cell r="BY23">
            <v>10</v>
          </cell>
          <cell r="CB23">
            <v>10</v>
          </cell>
          <cell r="DA23">
            <v>2.6</v>
          </cell>
        </row>
        <row r="24">
          <cell r="B24" t="str">
            <v>M1015</v>
          </cell>
          <cell r="C24" t="str">
            <v>Chendol浆咯</v>
          </cell>
          <cell r="D24" t="str">
            <v>Singapore</v>
          </cell>
          <cell r="E24" t="str">
            <v>TSM</v>
          </cell>
          <cell r="F24" t="str">
            <v>3 kgs</v>
          </cell>
          <cell r="G24" t="str">
            <v>Bag</v>
          </cell>
          <cell r="N24">
            <v>10</v>
          </cell>
          <cell r="DA24">
            <v>6.5</v>
          </cell>
        </row>
        <row r="25">
          <cell r="B25" t="str">
            <v>M1016</v>
          </cell>
          <cell r="C25" t="str">
            <v>Coconut Sugar Syrup 椰糖浆</v>
          </cell>
          <cell r="D25" t="str">
            <v>Singapore</v>
          </cell>
          <cell r="E25" t="str">
            <v>DO!</v>
          </cell>
          <cell r="F25" t="str">
            <v>4L/BTL</v>
          </cell>
          <cell r="G25" t="str">
            <v>Btl</v>
          </cell>
          <cell r="H25">
            <v>12</v>
          </cell>
          <cell r="I25">
            <v>14</v>
          </cell>
          <cell r="O25">
            <v>0</v>
          </cell>
          <cell r="P25">
            <v>0</v>
          </cell>
          <cell r="Q25">
            <v>14</v>
          </cell>
          <cell r="S25">
            <v>15</v>
          </cell>
          <cell r="U25">
            <v>14</v>
          </cell>
          <cell r="Y25">
            <v>13</v>
          </cell>
          <cell r="AJ25">
            <v>14</v>
          </cell>
          <cell r="BN25">
            <v>13</v>
          </cell>
          <cell r="BU25">
            <v>13</v>
          </cell>
          <cell r="BZ25">
            <v>14</v>
          </cell>
          <cell r="DA25">
            <v>9.27</v>
          </cell>
        </row>
        <row r="26">
          <cell r="B26" t="str">
            <v>M1017</v>
          </cell>
          <cell r="C26" t="str">
            <v>Coconut Suger Syrup (Pandan) 椰糖浆</v>
          </cell>
          <cell r="D26" t="str">
            <v>Singapore</v>
          </cell>
          <cell r="E26" t="str">
            <v>DO!</v>
          </cell>
          <cell r="F26" t="str">
            <v>4L/BTL</v>
          </cell>
          <cell r="G26" t="str">
            <v>Btl</v>
          </cell>
          <cell r="H26">
            <v>6</v>
          </cell>
          <cell r="I26">
            <v>0</v>
          </cell>
          <cell r="O26">
            <v>0</v>
          </cell>
          <cell r="P26">
            <v>0</v>
          </cell>
          <cell r="Y26">
            <v>24</v>
          </cell>
        </row>
        <row r="27">
          <cell r="B27" t="str">
            <v>M1018</v>
          </cell>
          <cell r="C27" t="str">
            <v>Pong Thai Hai (Wet) 碰大海</v>
          </cell>
          <cell r="D27" t="str">
            <v>China</v>
          </cell>
          <cell r="E27" t="str">
            <v>DO!</v>
          </cell>
          <cell r="F27" t="str">
            <v>1KG</v>
          </cell>
          <cell r="G27" t="str">
            <v>Kg</v>
          </cell>
          <cell r="H27">
            <v>5</v>
          </cell>
          <cell r="I27">
            <v>8</v>
          </cell>
          <cell r="J27">
            <v>7</v>
          </cell>
          <cell r="P27">
            <v>5</v>
          </cell>
          <cell r="Q27">
            <v>5</v>
          </cell>
          <cell r="S27">
            <v>6</v>
          </cell>
          <cell r="AF27">
            <v>5</v>
          </cell>
          <cell r="AK27">
            <v>5</v>
          </cell>
          <cell r="AM27">
            <v>6</v>
          </cell>
          <cell r="AO27">
            <v>7</v>
          </cell>
          <cell r="AP27">
            <v>7</v>
          </cell>
          <cell r="AQ27">
            <v>7</v>
          </cell>
          <cell r="AR27">
            <v>7</v>
          </cell>
          <cell r="AT27">
            <v>7</v>
          </cell>
          <cell r="AU27">
            <v>7</v>
          </cell>
          <cell r="AV27">
            <v>7</v>
          </cell>
          <cell r="AW27">
            <v>7</v>
          </cell>
          <cell r="AX27">
            <v>7</v>
          </cell>
          <cell r="AY27">
            <v>7</v>
          </cell>
          <cell r="AZ27">
            <v>7</v>
          </cell>
          <cell r="BA27">
            <v>7</v>
          </cell>
          <cell r="BC27">
            <v>7</v>
          </cell>
          <cell r="BK27">
            <v>5</v>
          </cell>
          <cell r="BU27">
            <v>5</v>
          </cell>
          <cell r="BX27">
            <v>7</v>
          </cell>
          <cell r="BZ27">
            <v>5</v>
          </cell>
          <cell r="DA27">
            <v>0.85</v>
          </cell>
        </row>
        <row r="28">
          <cell r="B28" t="str">
            <v>M1019</v>
          </cell>
          <cell r="C28" t="str">
            <v>RICE BALL (PINK-PEANUT 花生)</v>
          </cell>
          <cell r="D28" t="str">
            <v>Singapore</v>
          </cell>
          <cell r="E28" t="str">
            <v>TYC</v>
          </cell>
          <cell r="F28" t="str">
            <v>15 PIECES/PKT</v>
          </cell>
          <cell r="G28" t="str">
            <v>Bag</v>
          </cell>
          <cell r="BU28">
            <v>2.2999999999999998</v>
          </cell>
        </row>
        <row r="29">
          <cell r="B29" t="str">
            <v>M1020</v>
          </cell>
          <cell r="C29" t="str">
            <v>RICE BALL (WHITE - SESAME 芝麻)</v>
          </cell>
          <cell r="D29" t="str">
            <v>Singapore</v>
          </cell>
          <cell r="E29" t="str">
            <v>TYC</v>
          </cell>
          <cell r="F29" t="str">
            <v>15 PIECES/PKT</v>
          </cell>
          <cell r="G29" t="str">
            <v>Bag</v>
          </cell>
          <cell r="BU29">
            <v>2.2999999999999998</v>
          </cell>
        </row>
        <row r="30">
          <cell r="B30" t="str">
            <v>M1021</v>
          </cell>
          <cell r="C30" t="str">
            <v>RICE BALL (WHITE - RED BEAN 红豆)</v>
          </cell>
          <cell r="D30" t="str">
            <v>Singapore</v>
          </cell>
          <cell r="E30" t="str">
            <v>TYC</v>
          </cell>
          <cell r="F30" t="str">
            <v>15 PIECES/PKT</v>
          </cell>
          <cell r="G30" t="str">
            <v>Bag</v>
          </cell>
          <cell r="BU30">
            <v>2.2999999999999998</v>
          </cell>
        </row>
        <row r="31">
          <cell r="B31" t="str">
            <v>M1022</v>
          </cell>
          <cell r="C31" t="str">
            <v>Lemongrass Ginger Concentrate Juice 香茅姜汁</v>
          </cell>
          <cell r="D31" t="str">
            <v>Malaysia</v>
          </cell>
          <cell r="E31" t="str">
            <v>-</v>
          </cell>
          <cell r="F31" t="str">
            <v>80 GM/PKT</v>
          </cell>
          <cell r="G31" t="str">
            <v>Bag</v>
          </cell>
          <cell r="BO31">
            <v>0.7</v>
          </cell>
          <cell r="DA31">
            <v>0.4</v>
          </cell>
        </row>
        <row r="32">
          <cell r="B32" t="str">
            <v>M1023</v>
          </cell>
          <cell r="C32" t="str">
            <v>Passion Fruit Concentrate Juice 百香果汁</v>
          </cell>
          <cell r="D32" t="str">
            <v>Malaysia</v>
          </cell>
          <cell r="E32" t="str">
            <v>-</v>
          </cell>
          <cell r="F32" t="str">
            <v>100 GM/PKT</v>
          </cell>
          <cell r="G32" t="str">
            <v>Bag</v>
          </cell>
          <cell r="BO32">
            <v>0.7</v>
          </cell>
          <cell r="DA32">
            <v>0.4</v>
          </cell>
        </row>
        <row r="33">
          <cell r="B33" t="str">
            <v>M1023A</v>
          </cell>
          <cell r="C33" t="str">
            <v>Passion Fruit Concentrate Juice 百香果汁</v>
          </cell>
          <cell r="D33" t="str">
            <v>Malaysia</v>
          </cell>
          <cell r="E33" t="str">
            <v>-</v>
          </cell>
          <cell r="F33" t="str">
            <v>1 KG/PKT</v>
          </cell>
          <cell r="G33" t="str">
            <v>Bag</v>
          </cell>
          <cell r="BY33">
            <v>8</v>
          </cell>
          <cell r="DA33">
            <v>4</v>
          </cell>
        </row>
        <row r="34">
          <cell r="B34" t="str">
            <v>M1023B</v>
          </cell>
          <cell r="C34" t="str">
            <v>Passion Fruit Puree 百香果浆</v>
          </cell>
          <cell r="D34" t="str">
            <v>Malaysia</v>
          </cell>
          <cell r="E34" t="str">
            <v>-</v>
          </cell>
          <cell r="F34" t="str">
            <v>1 KG/BOX</v>
          </cell>
          <cell r="G34" t="str">
            <v>Box</v>
          </cell>
          <cell r="AD34">
            <v>8.5</v>
          </cell>
          <cell r="DA34">
            <v>4.4000000000000004</v>
          </cell>
        </row>
        <row r="35">
          <cell r="B35" t="str">
            <v>M1024</v>
          </cell>
          <cell r="C35" t="str">
            <v>Citrus Plum Concentrate Juice 柑桔梅子汁</v>
          </cell>
          <cell r="D35" t="str">
            <v>Malaysia</v>
          </cell>
          <cell r="E35" t="str">
            <v>-</v>
          </cell>
          <cell r="F35" t="str">
            <v>80 GM/PKT</v>
          </cell>
          <cell r="G35" t="str">
            <v>Bag</v>
          </cell>
          <cell r="BO35">
            <v>0.7</v>
          </cell>
          <cell r="DA35">
            <v>0.4</v>
          </cell>
        </row>
        <row r="36">
          <cell r="B36" t="str">
            <v>M1024A</v>
          </cell>
          <cell r="C36" t="str">
            <v>Citrus Plum Concentrate Juice 柑桔梅子汁</v>
          </cell>
          <cell r="D36" t="str">
            <v>Malaysia</v>
          </cell>
          <cell r="E36" t="str">
            <v>-</v>
          </cell>
          <cell r="F36" t="str">
            <v>1 KG/PKT</v>
          </cell>
          <cell r="G36" t="str">
            <v>Bag</v>
          </cell>
          <cell r="AJ36">
            <v>7</v>
          </cell>
          <cell r="BY36">
            <v>8</v>
          </cell>
          <cell r="DA36">
            <v>4</v>
          </cell>
        </row>
        <row r="37">
          <cell r="B37" t="str">
            <v>M1025</v>
          </cell>
          <cell r="C37" t="str">
            <v>Sweet Potato Q - Orange番薯粉圆</v>
          </cell>
          <cell r="D37" t="str">
            <v>Singapore</v>
          </cell>
          <cell r="E37" t="str">
            <v>DO!</v>
          </cell>
          <cell r="F37" t="str">
            <v>700 GM/BOX</v>
          </cell>
          <cell r="G37" t="str">
            <v>Box</v>
          </cell>
          <cell r="I37">
            <v>6</v>
          </cell>
          <cell r="J37">
            <v>6</v>
          </cell>
          <cell r="BQ37">
            <v>7</v>
          </cell>
          <cell r="CG37" t="str">
            <v>New</v>
          </cell>
        </row>
        <row r="38">
          <cell r="B38" t="str">
            <v>M1026</v>
          </cell>
          <cell r="C38" t="str">
            <v>Sweet Potato Q - Purple紫番薯粉圆</v>
          </cell>
          <cell r="D38" t="str">
            <v>Singapore</v>
          </cell>
          <cell r="E38" t="str">
            <v>DO!</v>
          </cell>
          <cell r="F38" t="str">
            <v>700 GM/BOX</v>
          </cell>
          <cell r="G38" t="str">
            <v>Box</v>
          </cell>
          <cell r="I38">
            <v>7</v>
          </cell>
          <cell r="J38">
            <v>7</v>
          </cell>
          <cell r="BQ38">
            <v>8</v>
          </cell>
          <cell r="CG38" t="str">
            <v>New</v>
          </cell>
        </row>
        <row r="39">
          <cell r="B39" t="str">
            <v>M1027</v>
          </cell>
          <cell r="C39" t="str">
            <v>Taro Q - White芋头粉圆</v>
          </cell>
          <cell r="D39" t="str">
            <v>Singapore</v>
          </cell>
          <cell r="E39" t="str">
            <v>DO!</v>
          </cell>
          <cell r="F39" t="str">
            <v>700 GM/BOX</v>
          </cell>
          <cell r="G39" t="str">
            <v>Box</v>
          </cell>
          <cell r="I39">
            <v>6</v>
          </cell>
          <cell r="J39">
            <v>6</v>
          </cell>
          <cell r="BQ39">
            <v>8</v>
          </cell>
          <cell r="CG39" t="str">
            <v>New</v>
          </cell>
        </row>
        <row r="40">
          <cell r="B40" t="str">
            <v>M1028</v>
          </cell>
          <cell r="C40" t="str">
            <v>Tapioca Q - Green-木薯粉圆</v>
          </cell>
          <cell r="D40" t="str">
            <v>Singapore</v>
          </cell>
          <cell r="E40" t="str">
            <v>DO!</v>
          </cell>
          <cell r="F40" t="str">
            <v>500 GM/BAG</v>
          </cell>
          <cell r="G40" t="str">
            <v>BAG</v>
          </cell>
        </row>
        <row r="41">
          <cell r="B41" t="str">
            <v>M1029</v>
          </cell>
          <cell r="C41" t="str">
            <v>Grass Jelly 仙草冻</v>
          </cell>
          <cell r="D41" t="str">
            <v>Singapore</v>
          </cell>
          <cell r="E41" t="str">
            <v>DO!</v>
          </cell>
          <cell r="F41" t="str">
            <v>1k/BOX</v>
          </cell>
          <cell r="G41" t="str">
            <v>BOX</v>
          </cell>
          <cell r="DA41">
            <v>0</v>
          </cell>
        </row>
        <row r="42">
          <cell r="B42" t="str">
            <v>M1030</v>
          </cell>
          <cell r="C42" t="str">
            <v>Pineapple Jam</v>
          </cell>
          <cell r="D42" t="str">
            <v>Singapore</v>
          </cell>
          <cell r="E42" t="str">
            <v>DO!</v>
          </cell>
          <cell r="F42" t="str">
            <v>200 gm</v>
          </cell>
          <cell r="G42" t="str">
            <v>Bottle</v>
          </cell>
          <cell r="DA42">
            <v>0</v>
          </cell>
        </row>
        <row r="43">
          <cell r="B43" t="str">
            <v>M1031</v>
          </cell>
          <cell r="C43" t="str">
            <v>Roselle Puree 洛神花浆</v>
          </cell>
          <cell r="D43" t="str">
            <v>Singapore</v>
          </cell>
          <cell r="E43" t="str">
            <v>DO!</v>
          </cell>
          <cell r="F43" t="str">
            <v>900 gm</v>
          </cell>
          <cell r="G43" t="str">
            <v>BOX</v>
          </cell>
          <cell r="DA43">
            <v>0</v>
          </cell>
        </row>
        <row r="44">
          <cell r="B44" t="str">
            <v>M1032</v>
          </cell>
          <cell r="C44" t="str">
            <v>PANDAN BEAN CURD JELLY</v>
          </cell>
          <cell r="D44" t="str">
            <v>Singapore</v>
          </cell>
          <cell r="E44" t="str">
            <v>DO!</v>
          </cell>
          <cell r="F44" t="str">
            <v>150 GM</v>
          </cell>
          <cell r="G44" t="str">
            <v>BOX</v>
          </cell>
          <cell r="DA44">
            <v>0</v>
          </cell>
        </row>
        <row r="45">
          <cell r="B45" t="str">
            <v>M1032A</v>
          </cell>
          <cell r="C45" t="str">
            <v>PANDAN BEAN CURD JELLY</v>
          </cell>
          <cell r="D45" t="str">
            <v>Singapore</v>
          </cell>
          <cell r="E45" t="str">
            <v>DO!</v>
          </cell>
          <cell r="F45" t="str">
            <v>1 kg</v>
          </cell>
          <cell r="G45" t="str">
            <v>BOX</v>
          </cell>
          <cell r="CF45">
            <v>10</v>
          </cell>
          <cell r="DA45">
            <v>0</v>
          </cell>
        </row>
        <row r="46">
          <cell r="B46" t="str">
            <v>M1033</v>
          </cell>
          <cell r="C46" t="str">
            <v>Red Tea Jelly</v>
          </cell>
          <cell r="D46" t="str">
            <v>Singapore</v>
          </cell>
          <cell r="E46" t="str">
            <v>DO!</v>
          </cell>
          <cell r="F46" t="str">
            <v>150 GM</v>
          </cell>
          <cell r="G46" t="str">
            <v>BOX</v>
          </cell>
          <cell r="DA46">
            <v>0</v>
          </cell>
        </row>
        <row r="47">
          <cell r="B47" t="str">
            <v>M1033A</v>
          </cell>
          <cell r="C47" t="str">
            <v>Red Tea Jelly</v>
          </cell>
          <cell r="D47" t="str">
            <v>Singapore</v>
          </cell>
          <cell r="E47" t="str">
            <v>DO!</v>
          </cell>
          <cell r="F47" t="str">
            <v>1 kg</v>
          </cell>
          <cell r="G47" t="str">
            <v>BOX</v>
          </cell>
          <cell r="CF47">
            <v>8</v>
          </cell>
          <cell r="DA47">
            <v>0</v>
          </cell>
        </row>
        <row r="48">
          <cell r="B48" t="str">
            <v>M1034</v>
          </cell>
          <cell r="C48" t="str">
            <v>FEN YUAN JELLY</v>
          </cell>
          <cell r="D48" t="str">
            <v>Singapore</v>
          </cell>
          <cell r="E48" t="str">
            <v>DO!</v>
          </cell>
          <cell r="F48" t="str">
            <v>200 GM</v>
          </cell>
          <cell r="G48" t="str">
            <v>BOX</v>
          </cell>
          <cell r="DA48">
            <v>0</v>
          </cell>
        </row>
        <row r="49">
          <cell r="B49" t="str">
            <v>M1035</v>
          </cell>
          <cell r="C49" t="str">
            <v>Osmanthus Jelly</v>
          </cell>
          <cell r="D49" t="str">
            <v>Singapore</v>
          </cell>
          <cell r="E49" t="str">
            <v>DO!</v>
          </cell>
          <cell r="F49" t="str">
            <v>150 gm</v>
          </cell>
          <cell r="G49" t="str">
            <v>Box</v>
          </cell>
          <cell r="CF49">
            <v>1.8</v>
          </cell>
          <cell r="DA49">
            <v>0</v>
          </cell>
        </row>
        <row r="50">
          <cell r="B50" t="str">
            <v>M1036</v>
          </cell>
          <cell r="C50" t="str">
            <v>SNOW ICE - MILK</v>
          </cell>
          <cell r="D50" t="str">
            <v>Malaysia</v>
          </cell>
          <cell r="E50" t="str">
            <v>T1</v>
          </cell>
          <cell r="F50" t="str">
            <v>2 KG</v>
          </cell>
          <cell r="G50" t="str">
            <v>PKT</v>
          </cell>
          <cell r="H50">
            <v>9</v>
          </cell>
          <cell r="CF50">
            <v>12.8</v>
          </cell>
          <cell r="DA50">
            <v>9</v>
          </cell>
        </row>
        <row r="51">
          <cell r="B51" t="str">
            <v>M1036A</v>
          </cell>
          <cell r="C51" t="str">
            <v>SNOW ICE - CHOCOLATE</v>
          </cell>
          <cell r="D51" t="str">
            <v>Malaysia</v>
          </cell>
          <cell r="E51" t="str">
            <v>T1</v>
          </cell>
          <cell r="F51" t="str">
            <v>2 KG</v>
          </cell>
          <cell r="G51" t="str">
            <v>PKT</v>
          </cell>
          <cell r="H51">
            <v>9</v>
          </cell>
          <cell r="CF51">
            <v>12.8</v>
          </cell>
          <cell r="DA51">
            <v>9</v>
          </cell>
        </row>
        <row r="52">
          <cell r="B52" t="str">
            <v>M1036B</v>
          </cell>
          <cell r="C52" t="str">
            <v>SNOW ICE - MANGO</v>
          </cell>
          <cell r="D52" t="str">
            <v>Malaysia</v>
          </cell>
          <cell r="E52" t="str">
            <v>T1</v>
          </cell>
          <cell r="F52" t="str">
            <v>2 KG</v>
          </cell>
          <cell r="G52" t="str">
            <v>PKT</v>
          </cell>
          <cell r="H52">
            <v>9</v>
          </cell>
          <cell r="CF52">
            <v>12.8</v>
          </cell>
          <cell r="DA52">
            <v>9</v>
          </cell>
        </row>
        <row r="53">
          <cell r="B53" t="str">
            <v>M1036C</v>
          </cell>
          <cell r="C53" t="str">
            <v>SNOW ICE - STRAWBERRY</v>
          </cell>
          <cell r="D53" t="str">
            <v>Malaysia</v>
          </cell>
          <cell r="E53" t="str">
            <v>T1</v>
          </cell>
          <cell r="F53" t="str">
            <v>2 KG</v>
          </cell>
          <cell r="G53" t="str">
            <v>PKT</v>
          </cell>
          <cell r="H53">
            <v>9</v>
          </cell>
          <cell r="CF53">
            <v>12.8</v>
          </cell>
          <cell r="DA53">
            <v>9</v>
          </cell>
        </row>
        <row r="54">
          <cell r="B54" t="str">
            <v>M1036D</v>
          </cell>
          <cell r="C54" t="str">
            <v>SNOW ICE - DURIAN</v>
          </cell>
          <cell r="D54" t="str">
            <v>Malaysia</v>
          </cell>
          <cell r="E54" t="str">
            <v>T1</v>
          </cell>
          <cell r="F54" t="str">
            <v>2 KG</v>
          </cell>
          <cell r="G54" t="str">
            <v>PKT</v>
          </cell>
          <cell r="H54">
            <v>9</v>
          </cell>
          <cell r="CF54">
            <v>12.8</v>
          </cell>
          <cell r="DA54">
            <v>9</v>
          </cell>
        </row>
        <row r="55">
          <cell r="B55" t="str">
            <v>M1036F</v>
          </cell>
          <cell r="C55" t="str">
            <v>SNOW ICE - MATCHA GREEN TEA</v>
          </cell>
          <cell r="D55" t="str">
            <v>Malaysia</v>
          </cell>
          <cell r="E55" t="str">
            <v>T1</v>
          </cell>
          <cell r="F55" t="str">
            <v>2 KG</v>
          </cell>
          <cell r="G55" t="str">
            <v>PKT</v>
          </cell>
          <cell r="H55">
            <v>10</v>
          </cell>
          <cell r="CF55">
            <v>12.8</v>
          </cell>
          <cell r="DA55">
            <v>9</v>
          </cell>
        </row>
        <row r="56">
          <cell r="B56" t="str">
            <v>M1037</v>
          </cell>
          <cell r="C56" t="str">
            <v>ROCK SUGAR SYRUP</v>
          </cell>
          <cell r="D56" t="str">
            <v>Singapore</v>
          </cell>
          <cell r="E56" t="str">
            <v>DO!</v>
          </cell>
          <cell r="F56" t="str">
            <v>4 KG</v>
          </cell>
          <cell r="I56">
            <v>7.5</v>
          </cell>
          <cell r="DA56">
            <v>4.9000000000000004</v>
          </cell>
        </row>
        <row r="57">
          <cell r="B57" t="str">
            <v>M1037A</v>
          </cell>
          <cell r="C57" t="str">
            <v>ROCK SUGAR SYRUP</v>
          </cell>
          <cell r="D57" t="str">
            <v>Singapore</v>
          </cell>
          <cell r="E57" t="str">
            <v>DO!</v>
          </cell>
          <cell r="F57" t="str">
            <v>5 KG</v>
          </cell>
          <cell r="I57">
            <v>8.5</v>
          </cell>
          <cell r="AJ57">
            <v>10</v>
          </cell>
          <cell r="DA57">
            <v>5.5</v>
          </cell>
        </row>
        <row r="58">
          <cell r="B58" t="str">
            <v>M1038</v>
          </cell>
          <cell r="C58" t="str">
            <v>AGAR AGAR RED JELLY</v>
          </cell>
          <cell r="D58" t="str">
            <v>Singapore</v>
          </cell>
          <cell r="E58" t="str">
            <v>-</v>
          </cell>
          <cell r="F58" t="str">
            <v>900 GM</v>
          </cell>
          <cell r="G58" t="str">
            <v>BOX</v>
          </cell>
          <cell r="AJ58">
            <v>3.4</v>
          </cell>
          <cell r="DA58">
            <v>2.4</v>
          </cell>
        </row>
        <row r="59">
          <cell r="B59" t="str">
            <v>M1039</v>
          </cell>
          <cell r="C59" t="str">
            <v>AGAR AGAR GREEN JELLY</v>
          </cell>
          <cell r="D59" t="str">
            <v>Singapore</v>
          </cell>
          <cell r="E59" t="str">
            <v>-</v>
          </cell>
          <cell r="F59" t="str">
            <v>900 GM</v>
          </cell>
          <cell r="G59" t="str">
            <v>BOX</v>
          </cell>
          <cell r="AJ59">
            <v>3.4</v>
          </cell>
          <cell r="DA59">
            <v>2.4</v>
          </cell>
        </row>
        <row r="60">
          <cell r="B60" t="str">
            <v>P1001</v>
          </cell>
          <cell r="C60" t="str">
            <v>3Q Jelly</v>
          </cell>
          <cell r="D60" t="str">
            <v>Taiwan</v>
          </cell>
          <cell r="E60" t="str">
            <v>-</v>
          </cell>
          <cell r="F60" t="str">
            <v>4 KGS X Tub</v>
          </cell>
          <cell r="G60" t="str">
            <v>Tin</v>
          </cell>
          <cell r="H60">
            <v>44</v>
          </cell>
          <cell r="I60">
            <v>0</v>
          </cell>
          <cell r="AC60">
            <v>52</v>
          </cell>
          <cell r="DA60">
            <v>44</v>
          </cell>
        </row>
        <row r="61">
          <cell r="B61" t="str">
            <v>P1001A</v>
          </cell>
          <cell r="C61" t="str">
            <v>3Q Jelly</v>
          </cell>
          <cell r="D61" t="str">
            <v>Taiwan</v>
          </cell>
          <cell r="E61" t="str">
            <v>-</v>
          </cell>
          <cell r="F61" t="str">
            <v>4 KGS/Tub</v>
          </cell>
          <cell r="G61" t="str">
            <v>Tin</v>
          </cell>
          <cell r="H61">
            <v>11</v>
          </cell>
          <cell r="I61">
            <v>16</v>
          </cell>
          <cell r="R61">
            <v>15</v>
          </cell>
          <cell r="BY61">
            <v>15</v>
          </cell>
          <cell r="DA61">
            <v>11</v>
          </cell>
        </row>
        <row r="62">
          <cell r="B62" t="str">
            <v>P1002</v>
          </cell>
          <cell r="C62" t="str">
            <v>Tadpole蝌蚪</v>
          </cell>
          <cell r="D62" t="str">
            <v>Malaysia</v>
          </cell>
          <cell r="E62" t="str">
            <v>FJ</v>
          </cell>
          <cell r="F62" t="str">
            <v>1 kg/Bag</v>
          </cell>
          <cell r="G62" t="str">
            <v>Bag</v>
          </cell>
          <cell r="H62">
            <v>6</v>
          </cell>
          <cell r="I62">
            <v>6</v>
          </cell>
          <cell r="J62">
            <v>6</v>
          </cell>
          <cell r="L62">
            <v>6.5</v>
          </cell>
          <cell r="M62">
            <v>6.5</v>
          </cell>
          <cell r="N62">
            <v>6</v>
          </cell>
          <cell r="O62">
            <v>6.5</v>
          </cell>
          <cell r="P62">
            <v>6.5</v>
          </cell>
          <cell r="Q62">
            <v>6.5</v>
          </cell>
          <cell r="R62">
            <v>6</v>
          </cell>
          <cell r="S62">
            <v>7</v>
          </cell>
          <cell r="V62">
            <v>6</v>
          </cell>
          <cell r="AB62">
            <v>6.5</v>
          </cell>
          <cell r="AC62">
            <v>6</v>
          </cell>
          <cell r="AM62">
            <v>6.5</v>
          </cell>
          <cell r="AO62">
            <v>6</v>
          </cell>
          <cell r="AP62">
            <v>6</v>
          </cell>
          <cell r="AQ62">
            <v>6</v>
          </cell>
          <cell r="AR62">
            <v>6</v>
          </cell>
          <cell r="AT62">
            <v>6</v>
          </cell>
          <cell r="AU62">
            <v>6</v>
          </cell>
          <cell r="AV62">
            <v>6</v>
          </cell>
          <cell r="AW62">
            <v>6</v>
          </cell>
          <cell r="AX62">
            <v>6</v>
          </cell>
          <cell r="AY62">
            <v>6</v>
          </cell>
          <cell r="AZ62">
            <v>6</v>
          </cell>
          <cell r="BA62">
            <v>6</v>
          </cell>
          <cell r="BC62">
            <v>6</v>
          </cell>
          <cell r="BX62">
            <v>6</v>
          </cell>
          <cell r="CF62">
            <v>6.5</v>
          </cell>
          <cell r="DA62">
            <v>5</v>
          </cell>
        </row>
        <row r="63">
          <cell r="B63" t="str">
            <v>P1003</v>
          </cell>
          <cell r="C63" t="str">
            <v>Q Ball Q圆</v>
          </cell>
          <cell r="D63" t="str">
            <v>Malaysia</v>
          </cell>
          <cell r="E63" t="str">
            <v>FJ</v>
          </cell>
          <cell r="F63" t="str">
            <v>1 kg/Bag</v>
          </cell>
          <cell r="G63" t="str">
            <v>Bag</v>
          </cell>
          <cell r="H63">
            <v>6</v>
          </cell>
          <cell r="I63">
            <v>6</v>
          </cell>
          <cell r="J63">
            <v>0</v>
          </cell>
          <cell r="O63">
            <v>6</v>
          </cell>
          <cell r="P63">
            <v>6</v>
          </cell>
          <cell r="Q63">
            <v>6</v>
          </cell>
          <cell r="R63">
            <v>6</v>
          </cell>
          <cell r="U63">
            <v>6</v>
          </cell>
          <cell r="V63">
            <v>6</v>
          </cell>
          <cell r="AC63">
            <v>6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C63">
            <v>0</v>
          </cell>
          <cell r="CF63">
            <v>6</v>
          </cell>
          <cell r="DA63">
            <v>4</v>
          </cell>
        </row>
        <row r="64">
          <cell r="B64" t="str">
            <v>P1004</v>
          </cell>
          <cell r="C64" t="str">
            <v>Honey Pearl - Black 蜜糖珍珠</v>
          </cell>
          <cell r="D64" t="str">
            <v>Singapore</v>
          </cell>
          <cell r="E64" t="str">
            <v>-</v>
          </cell>
          <cell r="F64" t="str">
            <v>1 kg/Bag</v>
          </cell>
          <cell r="G64" t="str">
            <v>Bag</v>
          </cell>
          <cell r="H64">
            <v>6</v>
          </cell>
          <cell r="I64">
            <v>0</v>
          </cell>
          <cell r="P64">
            <v>7</v>
          </cell>
          <cell r="AB64">
            <v>7.5</v>
          </cell>
          <cell r="AC64">
            <v>7</v>
          </cell>
          <cell r="AF64">
            <v>7</v>
          </cell>
          <cell r="BJ64">
            <v>8</v>
          </cell>
          <cell r="BK64">
            <v>7</v>
          </cell>
          <cell r="BU64">
            <v>8</v>
          </cell>
          <cell r="DA64">
            <v>6</v>
          </cell>
        </row>
        <row r="65">
          <cell r="B65" t="str">
            <v>P1005</v>
          </cell>
          <cell r="C65" t="str">
            <v>Honey Pearl - GOLDEN 蜜糖珍珠</v>
          </cell>
          <cell r="D65" t="str">
            <v>Singapore</v>
          </cell>
          <cell r="E65" t="str">
            <v>AD</v>
          </cell>
          <cell r="F65" t="str">
            <v>1 kg/Bag</v>
          </cell>
          <cell r="G65" t="str">
            <v>Bag</v>
          </cell>
          <cell r="H65">
            <v>5</v>
          </cell>
          <cell r="BT65">
            <v>8</v>
          </cell>
          <cell r="BU65">
            <v>8</v>
          </cell>
          <cell r="CF65">
            <v>7</v>
          </cell>
          <cell r="DA65">
            <v>5</v>
          </cell>
        </row>
        <row r="66">
          <cell r="B66" t="str">
            <v>P1006</v>
          </cell>
          <cell r="C66" t="str">
            <v>Magic Pop Ball - Mango</v>
          </cell>
          <cell r="D66" t="str">
            <v>Taiwan</v>
          </cell>
          <cell r="E66" t="str">
            <v>-</v>
          </cell>
          <cell r="F66" t="str">
            <v>3.2 KG/TUB</v>
          </cell>
          <cell r="G66" t="str">
            <v>Bag</v>
          </cell>
          <cell r="H66">
            <v>22</v>
          </cell>
          <cell r="J66">
            <v>23</v>
          </cell>
          <cell r="Z66">
            <v>21</v>
          </cell>
          <cell r="BU66">
            <v>21</v>
          </cell>
          <cell r="CG66" t="str">
            <v>New</v>
          </cell>
          <cell r="DA66">
            <v>15.8</v>
          </cell>
        </row>
        <row r="67">
          <cell r="B67" t="str">
            <v>P1006A</v>
          </cell>
          <cell r="C67" t="str">
            <v>Magic Pop Ball - Mango</v>
          </cell>
          <cell r="D67" t="str">
            <v>Taiwan</v>
          </cell>
          <cell r="E67" t="str">
            <v>-</v>
          </cell>
          <cell r="F67" t="str">
            <v>1 kg/Bag</v>
          </cell>
          <cell r="G67" t="str">
            <v>Bag</v>
          </cell>
          <cell r="I67">
            <v>6.5</v>
          </cell>
          <cell r="U67">
            <v>7</v>
          </cell>
          <cell r="BJ67">
            <v>7</v>
          </cell>
          <cell r="BT67">
            <v>7</v>
          </cell>
        </row>
        <row r="68">
          <cell r="B68" t="str">
            <v>P1007</v>
          </cell>
          <cell r="C68" t="str">
            <v>Magic Pop Ball - Strawberry</v>
          </cell>
          <cell r="D68" t="str">
            <v>Taiwan</v>
          </cell>
          <cell r="E68" t="str">
            <v>-</v>
          </cell>
          <cell r="F68" t="str">
            <v>3.2 KG/TUB</v>
          </cell>
          <cell r="G68" t="str">
            <v>Bag</v>
          </cell>
          <cell r="H68">
            <v>23</v>
          </cell>
          <cell r="J68">
            <v>23</v>
          </cell>
          <cell r="CG68" t="str">
            <v>New</v>
          </cell>
        </row>
        <row r="69">
          <cell r="B69" t="str">
            <v>P1007A</v>
          </cell>
          <cell r="C69" t="str">
            <v>Magic Pop Ball - Strawberry</v>
          </cell>
          <cell r="D69" t="str">
            <v>Taiwan</v>
          </cell>
          <cell r="E69" t="str">
            <v>-</v>
          </cell>
          <cell r="F69" t="str">
            <v>1 kg/Bag</v>
          </cell>
          <cell r="G69" t="str">
            <v>Bag</v>
          </cell>
          <cell r="I69">
            <v>6.5</v>
          </cell>
          <cell r="BJ69">
            <v>7</v>
          </cell>
          <cell r="BT69">
            <v>7</v>
          </cell>
        </row>
        <row r="70">
          <cell r="B70" t="str">
            <v>P1008</v>
          </cell>
          <cell r="C70" t="str">
            <v>Magic Pop Ball - Lychee</v>
          </cell>
          <cell r="D70" t="str">
            <v>Taiwan</v>
          </cell>
          <cell r="E70" t="str">
            <v>-</v>
          </cell>
          <cell r="F70" t="str">
            <v>3.2 KG/TUB</v>
          </cell>
          <cell r="G70" t="str">
            <v>Bag</v>
          </cell>
          <cell r="J70">
            <v>23</v>
          </cell>
          <cell r="BU70">
            <v>21</v>
          </cell>
          <cell r="CG70" t="str">
            <v>New</v>
          </cell>
          <cell r="DA70">
            <v>15.8</v>
          </cell>
        </row>
        <row r="71">
          <cell r="B71" t="str">
            <v>P1008A</v>
          </cell>
          <cell r="C71" t="str">
            <v>Magic Pop Ball - Lychee</v>
          </cell>
          <cell r="D71" t="str">
            <v>Taiwan</v>
          </cell>
          <cell r="E71" t="str">
            <v>-</v>
          </cell>
          <cell r="F71" t="str">
            <v>1 kg/Bag</v>
          </cell>
          <cell r="G71" t="str">
            <v>Bag</v>
          </cell>
          <cell r="I71">
            <v>6.5</v>
          </cell>
          <cell r="BT71">
            <v>7</v>
          </cell>
        </row>
        <row r="72">
          <cell r="B72" t="str">
            <v>P1009</v>
          </cell>
          <cell r="C72" t="str">
            <v>Original Konjac Ball</v>
          </cell>
          <cell r="D72" t="str">
            <v>Taiwan</v>
          </cell>
          <cell r="E72" t="str">
            <v>-</v>
          </cell>
          <cell r="F72" t="str">
            <v>1 kg</v>
          </cell>
          <cell r="G72" t="str">
            <v>Pkt</v>
          </cell>
          <cell r="H72">
            <v>5.4</v>
          </cell>
          <cell r="I72">
            <v>7</v>
          </cell>
          <cell r="J72">
            <v>8</v>
          </cell>
          <cell r="T72">
            <v>7</v>
          </cell>
          <cell r="BU72">
            <v>7.5</v>
          </cell>
          <cell r="BZ72">
            <v>7.5</v>
          </cell>
          <cell r="CG72" t="str">
            <v>New</v>
          </cell>
          <cell r="DA72">
            <v>5</v>
          </cell>
        </row>
        <row r="73">
          <cell r="B73" t="str">
            <v>P1010</v>
          </cell>
          <cell r="C73" t="str">
            <v>Black Sugar Konjac Ball</v>
          </cell>
          <cell r="D73" t="str">
            <v>Taiwan</v>
          </cell>
          <cell r="E73" t="str">
            <v>-</v>
          </cell>
          <cell r="F73" t="str">
            <v>1 kg</v>
          </cell>
          <cell r="G73" t="str">
            <v>Pkt</v>
          </cell>
          <cell r="H73">
            <v>5.4</v>
          </cell>
          <cell r="I73">
            <v>0</v>
          </cell>
          <cell r="J73">
            <v>8</v>
          </cell>
          <cell r="BZ73">
            <v>7.5</v>
          </cell>
          <cell r="CG73" t="str">
            <v>New</v>
          </cell>
          <cell r="DA73">
            <v>5.5</v>
          </cell>
        </row>
        <row r="74">
          <cell r="B74" t="str">
            <v>P2001</v>
          </cell>
          <cell r="C74" t="str">
            <v>Chin Chow powder 仙草粉</v>
          </cell>
          <cell r="D74" t="str">
            <v>China</v>
          </cell>
          <cell r="E74" t="str">
            <v>-</v>
          </cell>
          <cell r="F74" t="str">
            <v>500 GM X 20PKT</v>
          </cell>
          <cell r="G74" t="str">
            <v>CTN</v>
          </cell>
          <cell r="H74">
            <v>93</v>
          </cell>
          <cell r="N74">
            <v>118</v>
          </cell>
        </row>
        <row r="75">
          <cell r="B75" t="str">
            <v>P2001A</v>
          </cell>
          <cell r="C75" t="str">
            <v>Chin Chow powder 仙草粉</v>
          </cell>
          <cell r="D75" t="str">
            <v>China</v>
          </cell>
          <cell r="E75" t="str">
            <v>-</v>
          </cell>
          <cell r="F75" t="str">
            <v>2 kgs (20 X 100GM)</v>
          </cell>
          <cell r="G75" t="str">
            <v>PKt</v>
          </cell>
          <cell r="H75">
            <v>18.600000000000001</v>
          </cell>
          <cell r="I75">
            <v>24</v>
          </cell>
          <cell r="L75">
            <v>0</v>
          </cell>
          <cell r="O75">
            <v>26</v>
          </cell>
          <cell r="P75">
            <v>26</v>
          </cell>
          <cell r="Q75">
            <v>26</v>
          </cell>
          <cell r="Z75">
            <v>26</v>
          </cell>
          <cell r="BM75">
            <v>26</v>
          </cell>
          <cell r="BZ75">
            <v>26</v>
          </cell>
          <cell r="DA75">
            <v>18.600000000000001</v>
          </cell>
        </row>
        <row r="76">
          <cell r="B76" t="str">
            <v>P2001B</v>
          </cell>
          <cell r="C76" t="str">
            <v>Chin Chow powder 仙草粉</v>
          </cell>
          <cell r="D76" t="str">
            <v>China</v>
          </cell>
          <cell r="E76" t="str">
            <v>-</v>
          </cell>
          <cell r="F76" t="str">
            <v>5 X 100 GM</v>
          </cell>
          <cell r="G76" t="str">
            <v>PKt</v>
          </cell>
          <cell r="H76">
            <v>4.6500000000000004</v>
          </cell>
          <cell r="I76">
            <v>6</v>
          </cell>
          <cell r="AC76">
            <v>6.5</v>
          </cell>
          <cell r="BO76">
            <v>7</v>
          </cell>
        </row>
        <row r="77">
          <cell r="B77" t="str">
            <v>P2002</v>
          </cell>
          <cell r="C77" t="str">
            <v>Jelly Powder "文头雪粉" (CARRAGEENAN)</v>
          </cell>
          <cell r="E77" t="str">
            <v>500/4000</v>
          </cell>
          <cell r="F77" t="str">
            <v>1 kg</v>
          </cell>
          <cell r="G77" t="str">
            <v>Bag</v>
          </cell>
          <cell r="H77">
            <v>35</v>
          </cell>
          <cell r="I77">
            <v>0</v>
          </cell>
          <cell r="L77">
            <v>0</v>
          </cell>
          <cell r="N77">
            <v>35</v>
          </cell>
          <cell r="AB77">
            <v>35</v>
          </cell>
          <cell r="BG77">
            <v>40</v>
          </cell>
          <cell r="BL77">
            <v>38</v>
          </cell>
          <cell r="DA77">
            <v>25</v>
          </cell>
        </row>
        <row r="78">
          <cell r="B78" t="str">
            <v>P2002A</v>
          </cell>
          <cell r="C78" t="str">
            <v>Jelly Powder "文头雪粉" (CARRAGEENAN)</v>
          </cell>
          <cell r="D78" t="str">
            <v>Japan</v>
          </cell>
          <cell r="E78" t="str">
            <v>500/4000</v>
          </cell>
          <cell r="F78" t="str">
            <v>42gm x 10PKT/Bag</v>
          </cell>
          <cell r="G78" t="str">
            <v>Bag</v>
          </cell>
          <cell r="H78">
            <v>25</v>
          </cell>
          <cell r="I78">
            <v>30</v>
          </cell>
          <cell r="J78">
            <v>28</v>
          </cell>
          <cell r="L78">
            <v>0</v>
          </cell>
          <cell r="O78">
            <v>25</v>
          </cell>
          <cell r="P78">
            <v>25</v>
          </cell>
          <cell r="Q78">
            <v>25</v>
          </cell>
          <cell r="R78">
            <v>25</v>
          </cell>
          <cell r="S78">
            <v>28</v>
          </cell>
          <cell r="U78">
            <v>30</v>
          </cell>
          <cell r="V78">
            <v>25</v>
          </cell>
          <cell r="Z78">
            <v>25</v>
          </cell>
          <cell r="AC78">
            <v>25</v>
          </cell>
          <cell r="AO78">
            <v>28</v>
          </cell>
          <cell r="AP78">
            <v>28</v>
          </cell>
          <cell r="AQ78">
            <v>28</v>
          </cell>
          <cell r="AR78">
            <v>28</v>
          </cell>
          <cell r="AT78">
            <v>28</v>
          </cell>
          <cell r="AU78">
            <v>28</v>
          </cell>
          <cell r="AV78">
            <v>28</v>
          </cell>
          <cell r="AW78">
            <v>28</v>
          </cell>
          <cell r="AX78">
            <v>28</v>
          </cell>
          <cell r="AY78">
            <v>28</v>
          </cell>
          <cell r="AZ78">
            <v>28</v>
          </cell>
          <cell r="BA78">
            <v>28</v>
          </cell>
          <cell r="BC78">
            <v>28</v>
          </cell>
          <cell r="BG78">
            <v>28</v>
          </cell>
          <cell r="BK78">
            <v>28</v>
          </cell>
          <cell r="BU78">
            <v>25</v>
          </cell>
          <cell r="BX78">
            <v>28</v>
          </cell>
          <cell r="BY78">
            <v>25</v>
          </cell>
          <cell r="BZ78">
            <v>27</v>
          </cell>
          <cell r="DA78">
            <v>10.5</v>
          </cell>
        </row>
        <row r="79">
          <cell r="B79" t="str">
            <v>P2002B</v>
          </cell>
          <cell r="C79" t="str">
            <v>Almond Powder - 杏仁粉- Yellow- Jelly A</v>
          </cell>
          <cell r="D79" t="str">
            <v>Japan</v>
          </cell>
          <cell r="E79" t="str">
            <v>500/4000</v>
          </cell>
          <cell r="F79" t="str">
            <v>30gm/pkt x 10PKT</v>
          </cell>
          <cell r="G79" t="str">
            <v>Bag</v>
          </cell>
          <cell r="H79">
            <v>18</v>
          </cell>
          <cell r="J79">
            <v>18</v>
          </cell>
          <cell r="P79">
            <v>18</v>
          </cell>
          <cell r="AP79">
            <v>18</v>
          </cell>
          <cell r="AQ79">
            <v>18</v>
          </cell>
          <cell r="AR79">
            <v>18</v>
          </cell>
          <cell r="AT79">
            <v>18</v>
          </cell>
          <cell r="AV79">
            <v>18</v>
          </cell>
          <cell r="AW79">
            <v>18</v>
          </cell>
          <cell r="AX79">
            <v>18</v>
          </cell>
          <cell r="AY79">
            <v>18</v>
          </cell>
          <cell r="AZ79">
            <v>18</v>
          </cell>
          <cell r="BA79">
            <v>18</v>
          </cell>
          <cell r="BC79">
            <v>18</v>
          </cell>
          <cell r="DA79">
            <v>7.5</v>
          </cell>
        </row>
        <row r="80">
          <cell r="B80" t="str">
            <v>P2002C</v>
          </cell>
          <cell r="C80" t="str">
            <v>Jelly Powder "文头雪粉" (Carrageenan)</v>
          </cell>
          <cell r="D80" t="str">
            <v>Japan</v>
          </cell>
          <cell r="E80" t="str">
            <v>500/4000</v>
          </cell>
          <cell r="F80" t="str">
            <v>42gm</v>
          </cell>
          <cell r="G80" t="str">
            <v>Bag</v>
          </cell>
          <cell r="AD80">
            <v>2.8</v>
          </cell>
        </row>
        <row r="81">
          <cell r="B81" t="str">
            <v>P2003</v>
          </cell>
          <cell r="C81" t="str">
            <v>Agar Powder菜燕粉</v>
          </cell>
          <cell r="E81" t="str">
            <v>No 1</v>
          </cell>
          <cell r="F81" t="str">
            <v>1 kg</v>
          </cell>
          <cell r="G81" t="str">
            <v>Pkt</v>
          </cell>
          <cell r="BG81">
            <v>45</v>
          </cell>
          <cell r="DA81">
            <v>35</v>
          </cell>
        </row>
        <row r="82">
          <cell r="B82" t="str">
            <v>P2003A</v>
          </cell>
          <cell r="C82" t="str">
            <v>Agar Powder菜燕粉</v>
          </cell>
          <cell r="D82" t="str">
            <v>Malaysia</v>
          </cell>
          <cell r="E82" t="str">
            <v>No 1</v>
          </cell>
          <cell r="F82" t="str">
            <v>43 gms x 10PKT/Bag</v>
          </cell>
          <cell r="G82" t="str">
            <v>Bag</v>
          </cell>
          <cell r="H82">
            <v>30</v>
          </cell>
          <cell r="I82">
            <v>30</v>
          </cell>
          <cell r="J82">
            <v>30</v>
          </cell>
          <cell r="L82">
            <v>0</v>
          </cell>
          <cell r="P82">
            <v>30</v>
          </cell>
          <cell r="Q82">
            <v>30</v>
          </cell>
          <cell r="R82">
            <v>30</v>
          </cell>
          <cell r="S82">
            <v>30</v>
          </cell>
          <cell r="AP82">
            <v>30</v>
          </cell>
          <cell r="AQ82">
            <v>30</v>
          </cell>
          <cell r="AR82">
            <v>30</v>
          </cell>
          <cell r="AT82">
            <v>30</v>
          </cell>
          <cell r="AV82">
            <v>30</v>
          </cell>
          <cell r="AW82">
            <v>30</v>
          </cell>
          <cell r="AY82">
            <v>30</v>
          </cell>
          <cell r="AZ82">
            <v>30</v>
          </cell>
          <cell r="BA82">
            <v>30</v>
          </cell>
          <cell r="BC82">
            <v>30</v>
          </cell>
          <cell r="BG82">
            <v>30</v>
          </cell>
          <cell r="BU82">
            <v>32</v>
          </cell>
          <cell r="BZ82">
            <v>32</v>
          </cell>
          <cell r="DA82">
            <v>15.05</v>
          </cell>
        </row>
        <row r="83">
          <cell r="B83" t="str">
            <v>P2004</v>
          </cell>
          <cell r="C83" t="str">
            <v>Agar Powder菜燕粉</v>
          </cell>
          <cell r="D83" t="str">
            <v>Malaysia</v>
          </cell>
          <cell r="E83" t="str">
            <v>Rose</v>
          </cell>
          <cell r="F83" t="str">
            <v>20BOX/CARTON</v>
          </cell>
          <cell r="G83" t="str">
            <v>CTN</v>
          </cell>
        </row>
        <row r="84">
          <cell r="B84" t="str">
            <v>P2004A</v>
          </cell>
          <cell r="C84" t="str">
            <v>Agar Powder菜燕粉</v>
          </cell>
          <cell r="D84" t="str">
            <v>Malaysia</v>
          </cell>
          <cell r="E84" t="str">
            <v>Rose</v>
          </cell>
          <cell r="F84" t="str">
            <v>(12g x 12pkt)/盒</v>
          </cell>
          <cell r="G84" t="str">
            <v>Box</v>
          </cell>
          <cell r="H84">
            <v>11</v>
          </cell>
          <cell r="I84">
            <v>11</v>
          </cell>
          <cell r="J84">
            <v>11</v>
          </cell>
          <cell r="L84">
            <v>0</v>
          </cell>
          <cell r="AM84">
            <v>11</v>
          </cell>
          <cell r="AO84">
            <v>11</v>
          </cell>
          <cell r="AP84">
            <v>11</v>
          </cell>
          <cell r="AQ84">
            <v>11</v>
          </cell>
          <cell r="AR84">
            <v>11</v>
          </cell>
          <cell r="AT84">
            <v>11</v>
          </cell>
          <cell r="AW84">
            <v>11</v>
          </cell>
          <cell r="AX84">
            <v>11</v>
          </cell>
          <cell r="AY84">
            <v>11</v>
          </cell>
          <cell r="AZ84">
            <v>11</v>
          </cell>
          <cell r="BA84">
            <v>11</v>
          </cell>
          <cell r="BB84">
            <v>11</v>
          </cell>
          <cell r="BC84">
            <v>11</v>
          </cell>
          <cell r="BO84">
            <v>12</v>
          </cell>
          <cell r="DA84">
            <v>9</v>
          </cell>
        </row>
        <row r="85">
          <cell r="B85" t="str">
            <v>P2005</v>
          </cell>
          <cell r="C85" t="str">
            <v>Agar Strip 菜燕条</v>
          </cell>
          <cell r="D85" t="str">
            <v>China</v>
          </cell>
          <cell r="E85" t="str">
            <v>-</v>
          </cell>
          <cell r="F85" t="str">
            <v>1 kg</v>
          </cell>
          <cell r="G85" t="str">
            <v>Kg</v>
          </cell>
          <cell r="H85">
            <v>29.900000000000002</v>
          </cell>
          <cell r="I85">
            <v>30</v>
          </cell>
          <cell r="AC85">
            <v>30</v>
          </cell>
          <cell r="BZ85">
            <v>31</v>
          </cell>
          <cell r="DA85">
            <v>23</v>
          </cell>
        </row>
        <row r="86">
          <cell r="B86" t="str">
            <v>P2006</v>
          </cell>
          <cell r="C86" t="str">
            <v>Mango Pudding Power 芒果布丁</v>
          </cell>
          <cell r="D86" t="str">
            <v>Malaysia</v>
          </cell>
          <cell r="E86" t="str">
            <v>-</v>
          </cell>
          <cell r="F86" t="str">
            <v>6BOX X (5PKT X 200GM)</v>
          </cell>
          <cell r="G86" t="str">
            <v>Bag</v>
          </cell>
        </row>
        <row r="87">
          <cell r="B87" t="str">
            <v>P2006A</v>
          </cell>
          <cell r="C87" t="str">
            <v>Mango Pudding Power 芒果布丁</v>
          </cell>
          <cell r="D87" t="str">
            <v>Malaysia</v>
          </cell>
          <cell r="E87" t="str">
            <v>-</v>
          </cell>
          <cell r="F87" t="str">
            <v>10PKT X 200 GM/BAG</v>
          </cell>
          <cell r="G87" t="str">
            <v>Bag</v>
          </cell>
          <cell r="I87">
            <v>30</v>
          </cell>
          <cell r="J87">
            <v>28</v>
          </cell>
          <cell r="O87">
            <v>28</v>
          </cell>
          <cell r="P87">
            <v>28</v>
          </cell>
          <cell r="Q87">
            <v>28</v>
          </cell>
          <cell r="R87">
            <v>28</v>
          </cell>
          <cell r="AC87">
            <v>28</v>
          </cell>
          <cell r="AN87">
            <v>28</v>
          </cell>
          <cell r="AT87">
            <v>28</v>
          </cell>
          <cell r="BQ87">
            <v>26</v>
          </cell>
          <cell r="BY87">
            <v>28</v>
          </cell>
          <cell r="DA87">
            <v>15</v>
          </cell>
        </row>
        <row r="88">
          <cell r="B88" t="str">
            <v>P2006B</v>
          </cell>
          <cell r="C88" t="str">
            <v>Mango Pudding Power 芒果布丁</v>
          </cell>
          <cell r="D88" t="str">
            <v>Malaysia</v>
          </cell>
          <cell r="E88" t="str">
            <v>-</v>
          </cell>
          <cell r="F88" t="str">
            <v>200 GM</v>
          </cell>
          <cell r="G88" t="str">
            <v>PKT</v>
          </cell>
        </row>
        <row r="89">
          <cell r="B89" t="str">
            <v>P2007</v>
          </cell>
          <cell r="C89" t="str">
            <v>Almond Power-White 杏仁粉</v>
          </cell>
          <cell r="E89" t="str">
            <v>110088/5</v>
          </cell>
          <cell r="F89" t="str">
            <v>1 kg</v>
          </cell>
          <cell r="G89" t="str">
            <v>Bag</v>
          </cell>
          <cell r="H89">
            <v>26.666666666666668</v>
          </cell>
          <cell r="I89">
            <v>0</v>
          </cell>
          <cell r="N89">
            <v>40</v>
          </cell>
          <cell r="O89">
            <v>40</v>
          </cell>
          <cell r="BG89">
            <v>40</v>
          </cell>
          <cell r="DA89">
            <v>15</v>
          </cell>
        </row>
        <row r="90">
          <cell r="B90" t="str">
            <v>P2007A</v>
          </cell>
          <cell r="C90" t="str">
            <v>Almond Power-White 杏仁粉</v>
          </cell>
          <cell r="E90" t="str">
            <v>110088/5</v>
          </cell>
          <cell r="F90" t="str">
            <v>70 gms x 10pkt</v>
          </cell>
          <cell r="G90" t="str">
            <v>Bag</v>
          </cell>
          <cell r="BZ90">
            <v>25</v>
          </cell>
          <cell r="DA90">
            <v>10.5</v>
          </cell>
        </row>
        <row r="91">
          <cell r="B91" t="str">
            <v>P2007B</v>
          </cell>
          <cell r="C91" t="str">
            <v>Almond Power-White 杏仁粉</v>
          </cell>
          <cell r="E91" t="str">
            <v>110088/5</v>
          </cell>
          <cell r="F91" t="str">
            <v>140 gms x 10 pkt</v>
          </cell>
          <cell r="G91" t="str">
            <v>Bag</v>
          </cell>
          <cell r="P91">
            <v>40</v>
          </cell>
          <cell r="BU91">
            <v>30</v>
          </cell>
          <cell r="DA91">
            <v>21</v>
          </cell>
        </row>
        <row r="92">
          <cell r="B92" t="str">
            <v>P2007C</v>
          </cell>
          <cell r="C92" t="str">
            <v>Almond Power-White 杏仁粉</v>
          </cell>
          <cell r="E92" t="str">
            <v>110088/5</v>
          </cell>
          <cell r="F92" t="str">
            <v>35gms x 10 pkt</v>
          </cell>
          <cell r="DA92">
            <v>5.25</v>
          </cell>
        </row>
        <row r="93">
          <cell r="B93" t="str">
            <v>P2008</v>
          </cell>
          <cell r="C93" t="str">
            <v>Almond Power 杏仁粉 - Yelow</v>
          </cell>
          <cell r="E93" t="str">
            <v>PH</v>
          </cell>
          <cell r="F93" t="str">
            <v>1 KG</v>
          </cell>
          <cell r="G93" t="str">
            <v>TUE</v>
          </cell>
        </row>
        <row r="94">
          <cell r="B94" t="str">
            <v>P2008A</v>
          </cell>
          <cell r="C94" t="str">
            <v>Almond Power 杏仁粉 - Yelow</v>
          </cell>
          <cell r="E94" t="str">
            <v>PH</v>
          </cell>
          <cell r="F94" t="str">
            <v>150gm x 10 pkt</v>
          </cell>
          <cell r="G94" t="str">
            <v>Bag</v>
          </cell>
        </row>
        <row r="95">
          <cell r="B95" t="str">
            <v>P2008B</v>
          </cell>
          <cell r="C95" t="str">
            <v>Almond Power 杏仁粉 - Yelow</v>
          </cell>
          <cell r="D95" t="str">
            <v>Malaysia</v>
          </cell>
          <cell r="E95" t="str">
            <v>PH</v>
          </cell>
          <cell r="F95" t="str">
            <v>150gm x 4pkt</v>
          </cell>
          <cell r="G95" t="str">
            <v>Bag</v>
          </cell>
          <cell r="J95">
            <v>18</v>
          </cell>
        </row>
        <row r="96">
          <cell r="B96" t="str">
            <v>P2008C</v>
          </cell>
          <cell r="C96" t="str">
            <v>Almond Power 杏仁粉 - Yelow</v>
          </cell>
          <cell r="D96" t="str">
            <v>Malaysia</v>
          </cell>
          <cell r="E96" t="str">
            <v>PH</v>
          </cell>
          <cell r="F96" t="str">
            <v>150 GM</v>
          </cell>
          <cell r="G96" t="str">
            <v>PKT</v>
          </cell>
        </row>
        <row r="97">
          <cell r="B97" t="str">
            <v>P2009</v>
          </cell>
          <cell r="C97" t="str">
            <v>Herbal Jelly Powder</v>
          </cell>
          <cell r="F97" t="str">
            <v>500 GM/BAG</v>
          </cell>
          <cell r="G97" t="str">
            <v>BAG</v>
          </cell>
          <cell r="H97">
            <v>3.9</v>
          </cell>
          <cell r="O97">
            <v>6</v>
          </cell>
          <cell r="BK97">
            <v>6.5</v>
          </cell>
          <cell r="BZ97">
            <v>8</v>
          </cell>
        </row>
        <row r="98">
          <cell r="B98" t="str">
            <v>P2010</v>
          </cell>
          <cell r="C98" t="str">
            <v>NESTLE COFFEEMATE</v>
          </cell>
          <cell r="E98" t="str">
            <v>NESTLE</v>
          </cell>
          <cell r="F98" t="str">
            <v>12 KGS/CARTON</v>
          </cell>
          <cell r="DA98">
            <v>54</v>
          </cell>
        </row>
        <row r="99">
          <cell r="B99" t="str">
            <v>P2010A</v>
          </cell>
          <cell r="C99" t="str">
            <v>NESTLE COFFEEMATE</v>
          </cell>
          <cell r="E99" t="str">
            <v>NESTLE</v>
          </cell>
          <cell r="F99" t="str">
            <v>1 KG/PKT</v>
          </cell>
          <cell r="DA99">
            <v>4.5</v>
          </cell>
        </row>
        <row r="100">
          <cell r="B100" t="str">
            <v>P2011</v>
          </cell>
          <cell r="C100" t="str">
            <v>Sweet Potato Powder番薯粉</v>
          </cell>
          <cell r="D100" t="str">
            <v>CHINA</v>
          </cell>
          <cell r="E100" t="str">
            <v>-</v>
          </cell>
          <cell r="F100" t="str">
            <v>25 KGS</v>
          </cell>
          <cell r="G100" t="str">
            <v>BAG</v>
          </cell>
          <cell r="DA100">
            <v>62</v>
          </cell>
        </row>
        <row r="101">
          <cell r="B101" t="str">
            <v>P2011A</v>
          </cell>
          <cell r="C101" t="str">
            <v>Sweet Potato Powder番薯粉</v>
          </cell>
          <cell r="D101" t="str">
            <v>CHINA</v>
          </cell>
          <cell r="E101" t="str">
            <v>RE-PACK</v>
          </cell>
          <cell r="F101" t="str">
            <v>3 kgs</v>
          </cell>
          <cell r="G101" t="str">
            <v>Bag</v>
          </cell>
          <cell r="H101">
            <v>9</v>
          </cell>
          <cell r="I101">
            <v>0</v>
          </cell>
          <cell r="J101">
            <v>9.5</v>
          </cell>
          <cell r="P101">
            <v>9</v>
          </cell>
          <cell r="Q101">
            <v>9.8000000000000007</v>
          </cell>
          <cell r="S101">
            <v>10</v>
          </cell>
          <cell r="AJ101">
            <v>10</v>
          </cell>
          <cell r="AK101">
            <v>9</v>
          </cell>
          <cell r="AQ101">
            <v>9.5</v>
          </cell>
          <cell r="AX101">
            <v>9.5</v>
          </cell>
          <cell r="AY101">
            <v>9.5</v>
          </cell>
          <cell r="AZ101">
            <v>9.5</v>
          </cell>
          <cell r="BA101">
            <v>9.5</v>
          </cell>
          <cell r="BC101">
            <v>9.5</v>
          </cell>
          <cell r="BX101">
            <v>9.5</v>
          </cell>
          <cell r="DA101">
            <v>7.4399999999999995</v>
          </cell>
        </row>
        <row r="102">
          <cell r="B102" t="str">
            <v>P2011B</v>
          </cell>
          <cell r="C102" t="str">
            <v>Sweet Potato Powder番薯粉</v>
          </cell>
          <cell r="D102" t="str">
            <v>China</v>
          </cell>
          <cell r="E102" t="str">
            <v>RE-PACK</v>
          </cell>
          <cell r="F102" t="str">
            <v>(500gm x 20Pkt)包</v>
          </cell>
          <cell r="G102" t="str">
            <v>Bag</v>
          </cell>
          <cell r="H102">
            <v>30</v>
          </cell>
          <cell r="I102">
            <v>32</v>
          </cell>
          <cell r="J102">
            <v>32</v>
          </cell>
          <cell r="O102">
            <v>32</v>
          </cell>
          <cell r="R102">
            <v>32</v>
          </cell>
          <cell r="AO102">
            <v>32</v>
          </cell>
          <cell r="AP102">
            <v>32</v>
          </cell>
          <cell r="AR102">
            <v>32</v>
          </cell>
          <cell r="AT102">
            <v>32</v>
          </cell>
          <cell r="AU102">
            <v>32</v>
          </cell>
          <cell r="AV102">
            <v>32</v>
          </cell>
          <cell r="AW102">
            <v>32</v>
          </cell>
          <cell r="BC102">
            <v>32</v>
          </cell>
          <cell r="DA102">
            <v>24.8</v>
          </cell>
        </row>
        <row r="103">
          <cell r="B103" t="str">
            <v>P2011C</v>
          </cell>
          <cell r="C103" t="str">
            <v>Sweet Potato Powder番薯粉</v>
          </cell>
          <cell r="D103" t="str">
            <v>China</v>
          </cell>
          <cell r="E103" t="str">
            <v>RE-PACK</v>
          </cell>
          <cell r="F103" t="str">
            <v>4 KGS</v>
          </cell>
          <cell r="G103" t="str">
            <v>Bag</v>
          </cell>
          <cell r="DA103">
            <v>9.92</v>
          </cell>
        </row>
        <row r="104">
          <cell r="B104" t="str">
            <v>P2011D</v>
          </cell>
          <cell r="C104" t="str">
            <v>Sweet Potato Powder番薯粉</v>
          </cell>
          <cell r="D104" t="str">
            <v>China</v>
          </cell>
          <cell r="E104" t="str">
            <v>RE-PACK</v>
          </cell>
          <cell r="F104" t="str">
            <v>1 KG</v>
          </cell>
          <cell r="DA104">
            <v>2.48</v>
          </cell>
        </row>
        <row r="105">
          <cell r="B105" t="str">
            <v>P2012</v>
          </cell>
          <cell r="C105" t="str">
            <v>Sweet Potato Powder番薯粉</v>
          </cell>
          <cell r="D105" t="str">
            <v>Thailand</v>
          </cell>
          <cell r="E105" t="str">
            <v>F/man 飞人</v>
          </cell>
          <cell r="F105" t="str">
            <v>(500gm x 20Pkt)箱</v>
          </cell>
          <cell r="G105" t="str">
            <v>CTN</v>
          </cell>
          <cell r="H105">
            <v>28.12</v>
          </cell>
          <cell r="J105">
            <v>32</v>
          </cell>
          <cell r="P105">
            <v>30</v>
          </cell>
          <cell r="V105">
            <v>30</v>
          </cell>
          <cell r="BO105">
            <v>32</v>
          </cell>
          <cell r="CG105" t="str">
            <v>New</v>
          </cell>
          <cell r="DA105">
            <v>0</v>
          </cell>
        </row>
        <row r="106">
          <cell r="B106" t="str">
            <v>P2012A</v>
          </cell>
          <cell r="C106" t="str">
            <v>Sweet Potato Powder番薯粉</v>
          </cell>
          <cell r="D106" t="str">
            <v>Thailand</v>
          </cell>
          <cell r="E106" t="str">
            <v>F/man 飞人</v>
          </cell>
          <cell r="F106" t="str">
            <v>500 GM/pkt</v>
          </cell>
          <cell r="G106" t="str">
            <v>PKT</v>
          </cell>
          <cell r="DA106">
            <v>0</v>
          </cell>
        </row>
        <row r="107">
          <cell r="B107" t="str">
            <v>P2013</v>
          </cell>
          <cell r="C107" t="str">
            <v>Sweet Potato Powder番薯粉</v>
          </cell>
          <cell r="D107" t="str">
            <v>KHS</v>
          </cell>
          <cell r="E107" t="str">
            <v>THREE EAGLE</v>
          </cell>
          <cell r="F107" t="str">
            <v>(500gm x 20Pkt)箱</v>
          </cell>
          <cell r="G107" t="str">
            <v>CTN</v>
          </cell>
          <cell r="I107">
            <v>30</v>
          </cell>
          <cell r="AW107">
            <v>30</v>
          </cell>
          <cell r="DA107">
            <v>29</v>
          </cell>
        </row>
        <row r="108">
          <cell r="B108" t="str">
            <v>P2014</v>
          </cell>
          <cell r="C108" t="str">
            <v>Green Mung Bean Starch 绿豆粉</v>
          </cell>
          <cell r="D108" t="str">
            <v>CHINA</v>
          </cell>
          <cell r="E108" t="str">
            <v>-</v>
          </cell>
          <cell r="F108" t="str">
            <v>25 KGS</v>
          </cell>
          <cell r="G108" t="str">
            <v>PKT</v>
          </cell>
          <cell r="DA108">
            <v>100</v>
          </cell>
        </row>
        <row r="109">
          <cell r="B109" t="str">
            <v>P2014A</v>
          </cell>
          <cell r="C109" t="str">
            <v>Green Mung Bean Starch 绿豆粉</v>
          </cell>
          <cell r="D109" t="str">
            <v>CHINA</v>
          </cell>
          <cell r="E109" t="str">
            <v>-</v>
          </cell>
          <cell r="F109" t="str">
            <v>1 KG</v>
          </cell>
          <cell r="G109" t="str">
            <v>PKT</v>
          </cell>
          <cell r="DA109">
            <v>4</v>
          </cell>
        </row>
        <row r="110">
          <cell r="B110" t="str">
            <v>P2015</v>
          </cell>
          <cell r="C110" t="str">
            <v>Tapioca Flour 茨粉</v>
          </cell>
          <cell r="D110" t="str">
            <v>Thailand</v>
          </cell>
          <cell r="E110" t="str">
            <v>F/man 飞人</v>
          </cell>
          <cell r="F110" t="str">
            <v>25 KGS</v>
          </cell>
          <cell r="G110" t="str">
            <v>Bag</v>
          </cell>
          <cell r="DA110">
            <v>24.5</v>
          </cell>
        </row>
        <row r="111">
          <cell r="B111" t="str">
            <v>P2016</v>
          </cell>
          <cell r="C111" t="str">
            <v>Tapioca Flour 茨粉</v>
          </cell>
          <cell r="D111" t="str">
            <v>Thailand</v>
          </cell>
          <cell r="E111" t="str">
            <v>F/man 飞人</v>
          </cell>
          <cell r="F111" t="str">
            <v>500gm/pkt X 50</v>
          </cell>
          <cell r="G111" t="str">
            <v>Bag</v>
          </cell>
          <cell r="H111">
            <v>0.8</v>
          </cell>
          <cell r="O111">
            <v>39</v>
          </cell>
          <cell r="DA111">
            <v>29</v>
          </cell>
        </row>
        <row r="112">
          <cell r="B112" t="str">
            <v>P2016A</v>
          </cell>
          <cell r="C112" t="str">
            <v>Tapioca Flour 茨粉</v>
          </cell>
          <cell r="D112" t="str">
            <v>Thailand</v>
          </cell>
          <cell r="E112" t="str">
            <v>F/man 飞人</v>
          </cell>
          <cell r="F112" t="str">
            <v xml:space="preserve">500gm/pkt </v>
          </cell>
          <cell r="G112" t="str">
            <v>Bag</v>
          </cell>
          <cell r="H112">
            <v>0.8</v>
          </cell>
          <cell r="I112">
            <v>0.9</v>
          </cell>
          <cell r="J112">
            <v>0.8</v>
          </cell>
          <cell r="N112">
            <v>0.9</v>
          </cell>
          <cell r="O112">
            <v>0.9</v>
          </cell>
          <cell r="P112">
            <v>0.8</v>
          </cell>
          <cell r="R112">
            <v>0.9</v>
          </cell>
          <cell r="AD112">
            <v>0.8</v>
          </cell>
          <cell r="AO112">
            <v>0.8</v>
          </cell>
          <cell r="AP112">
            <v>0.8</v>
          </cell>
          <cell r="AQ112">
            <v>0.8</v>
          </cell>
          <cell r="AR112">
            <v>0.8</v>
          </cell>
          <cell r="AT112">
            <v>0.8</v>
          </cell>
          <cell r="AU112">
            <v>0.8</v>
          </cell>
          <cell r="AV112">
            <v>0.8</v>
          </cell>
          <cell r="AX112">
            <v>0.8</v>
          </cell>
          <cell r="AY112">
            <v>0.8</v>
          </cell>
          <cell r="AZ112">
            <v>0.8</v>
          </cell>
          <cell r="BA112">
            <v>0.8</v>
          </cell>
          <cell r="BC112">
            <v>0.8</v>
          </cell>
          <cell r="BO112">
            <v>0.8</v>
          </cell>
          <cell r="BZ112">
            <v>0.8</v>
          </cell>
          <cell r="DA112">
            <v>0.57999999999999996</v>
          </cell>
        </row>
        <row r="113">
          <cell r="B113" t="str">
            <v>P2017</v>
          </cell>
          <cell r="C113" t="str">
            <v>Potato Starch 风车粉</v>
          </cell>
          <cell r="D113" t="str">
            <v>China</v>
          </cell>
          <cell r="E113" t="str">
            <v>Windmill</v>
          </cell>
          <cell r="F113" t="str">
            <v>350 gm x 24 bag</v>
          </cell>
          <cell r="G113" t="str">
            <v>CTN</v>
          </cell>
          <cell r="H113">
            <v>32.4</v>
          </cell>
          <cell r="I113">
            <v>38</v>
          </cell>
          <cell r="J113">
            <v>38</v>
          </cell>
          <cell r="AO113">
            <v>38</v>
          </cell>
          <cell r="AP113">
            <v>38</v>
          </cell>
          <cell r="AR113">
            <v>38</v>
          </cell>
          <cell r="AT113">
            <v>38</v>
          </cell>
          <cell r="AU113">
            <v>38</v>
          </cell>
          <cell r="AV113">
            <v>38</v>
          </cell>
          <cell r="AX113">
            <v>38</v>
          </cell>
          <cell r="BC113">
            <v>38</v>
          </cell>
          <cell r="BO113">
            <v>40</v>
          </cell>
          <cell r="BZ113">
            <v>0</v>
          </cell>
          <cell r="DA113">
            <v>33.6</v>
          </cell>
        </row>
        <row r="114">
          <cell r="B114" t="str">
            <v>P2018</v>
          </cell>
          <cell r="C114" t="str">
            <v>Potato Starch 风车粉</v>
          </cell>
          <cell r="D114" t="str">
            <v>Thailand</v>
          </cell>
          <cell r="E114" t="str">
            <v>Windmill</v>
          </cell>
          <cell r="F114" t="str">
            <v>5 kg</v>
          </cell>
          <cell r="G114" t="str">
            <v>Bag</v>
          </cell>
          <cell r="H114">
            <v>10.1</v>
          </cell>
          <cell r="I114">
            <v>13</v>
          </cell>
          <cell r="P114">
            <v>13</v>
          </cell>
          <cell r="V114">
            <v>12</v>
          </cell>
          <cell r="DA114">
            <v>11.7</v>
          </cell>
        </row>
        <row r="115">
          <cell r="B115" t="str">
            <v>P2019</v>
          </cell>
          <cell r="C115" t="str">
            <v>Potato Starch 风车粉</v>
          </cell>
          <cell r="D115" t="str">
            <v>Thailand</v>
          </cell>
          <cell r="E115" t="str">
            <v>WORLDWIDE</v>
          </cell>
          <cell r="F115" t="str">
            <v>25 KGS</v>
          </cell>
          <cell r="G115" t="str">
            <v>Bag</v>
          </cell>
          <cell r="H115">
            <v>36</v>
          </cell>
          <cell r="DA115">
            <v>42</v>
          </cell>
        </row>
        <row r="116">
          <cell r="B116" t="str">
            <v>P2019A</v>
          </cell>
          <cell r="C116" t="str">
            <v>Potato Starch 风车粉</v>
          </cell>
          <cell r="D116" t="str">
            <v>Thailand</v>
          </cell>
          <cell r="E116" t="str">
            <v>RE-PACK</v>
          </cell>
          <cell r="F116" t="str">
            <v>5 kg</v>
          </cell>
          <cell r="G116" t="str">
            <v>Bag</v>
          </cell>
          <cell r="H116">
            <v>7.1999999999999993</v>
          </cell>
          <cell r="I116">
            <v>12</v>
          </cell>
          <cell r="J116">
            <v>12</v>
          </cell>
          <cell r="Q116">
            <v>12</v>
          </cell>
          <cell r="S116">
            <v>13</v>
          </cell>
          <cell r="AC116">
            <v>12.5</v>
          </cell>
          <cell r="AF116">
            <v>12.5</v>
          </cell>
          <cell r="AJ116">
            <v>12</v>
          </cell>
          <cell r="AQ116">
            <v>12</v>
          </cell>
          <cell r="AW116">
            <v>12</v>
          </cell>
          <cell r="AY116">
            <v>12</v>
          </cell>
          <cell r="AZ116">
            <v>12</v>
          </cell>
          <cell r="BA116">
            <v>12</v>
          </cell>
          <cell r="BK116">
            <v>14</v>
          </cell>
          <cell r="BX116">
            <v>12</v>
          </cell>
          <cell r="DA116">
            <v>8.4</v>
          </cell>
        </row>
        <row r="117">
          <cell r="B117" t="str">
            <v>P2019B</v>
          </cell>
          <cell r="C117" t="str">
            <v>Potato Starch 风车粉</v>
          </cell>
          <cell r="D117" t="str">
            <v>Thailand</v>
          </cell>
          <cell r="E117" t="str">
            <v>RE-PACK</v>
          </cell>
          <cell r="F117" t="str">
            <v>4 KGS</v>
          </cell>
          <cell r="DA117">
            <v>6.7200000000000006</v>
          </cell>
        </row>
        <row r="118">
          <cell r="B118" t="str">
            <v>P2019C</v>
          </cell>
          <cell r="C118" t="str">
            <v>Potato Starch 风车粉</v>
          </cell>
          <cell r="D118" t="str">
            <v>Thailand</v>
          </cell>
          <cell r="E118" t="str">
            <v>RE-PACK</v>
          </cell>
          <cell r="F118" t="str">
            <v>1 KG</v>
          </cell>
          <cell r="DA118">
            <v>1.6800000000000002</v>
          </cell>
        </row>
        <row r="119">
          <cell r="B119" t="str">
            <v>P2020</v>
          </cell>
          <cell r="C119" t="str">
            <v>Wheat Starch 澄面粉</v>
          </cell>
          <cell r="F119" t="str">
            <v>25 kgs</v>
          </cell>
          <cell r="G119" t="str">
            <v>Bag</v>
          </cell>
        </row>
        <row r="120">
          <cell r="B120" t="str">
            <v>P2020A</v>
          </cell>
          <cell r="C120" t="str">
            <v>Wheat Starch 澄面粉</v>
          </cell>
          <cell r="F120" t="str">
            <v>500 gm x 10</v>
          </cell>
          <cell r="G120" t="str">
            <v>Bag</v>
          </cell>
        </row>
        <row r="121">
          <cell r="B121" t="str">
            <v>P2021</v>
          </cell>
          <cell r="C121" t="str">
            <v>SODA ASH DENSE 枧粉</v>
          </cell>
          <cell r="F121" t="str">
            <v>1 KG</v>
          </cell>
          <cell r="AG121">
            <v>3</v>
          </cell>
        </row>
        <row r="122">
          <cell r="B122" t="str">
            <v>P2022</v>
          </cell>
          <cell r="C122" t="str">
            <v>RICE FLOUR 粘米粉</v>
          </cell>
          <cell r="D122" t="str">
            <v>China</v>
          </cell>
          <cell r="E122" t="str">
            <v>ERWAN</v>
          </cell>
          <cell r="F122" t="str">
            <v>(600gm x 20Pkt)箱</v>
          </cell>
          <cell r="G122" t="str">
            <v>CTN</v>
          </cell>
          <cell r="H122">
            <v>17.3</v>
          </cell>
          <cell r="I122">
            <v>22</v>
          </cell>
          <cell r="M122">
            <v>24</v>
          </cell>
          <cell r="R122">
            <v>27</v>
          </cell>
          <cell r="BO122">
            <v>25</v>
          </cell>
          <cell r="DA122">
            <v>18.600000000000001</v>
          </cell>
        </row>
        <row r="123">
          <cell r="B123" t="str">
            <v>P2023</v>
          </cell>
          <cell r="C123" t="str">
            <v>Erawan Glutinous Flour 糯米粉</v>
          </cell>
          <cell r="D123" t="str">
            <v>Thailand</v>
          </cell>
          <cell r="E123" t="str">
            <v>-</v>
          </cell>
          <cell r="F123" t="str">
            <v>600 gms/20bag</v>
          </cell>
          <cell r="G123" t="str">
            <v>CARTON</v>
          </cell>
          <cell r="H123">
            <v>24</v>
          </cell>
          <cell r="I123">
            <v>32</v>
          </cell>
          <cell r="M123">
            <v>32</v>
          </cell>
          <cell r="DA123">
            <v>24</v>
          </cell>
        </row>
        <row r="124">
          <cell r="B124" t="str">
            <v>P2024</v>
          </cell>
          <cell r="C124" t="str">
            <v>Red Tea Jelly Powder</v>
          </cell>
          <cell r="D124" t="str">
            <v>Taiwan</v>
          </cell>
          <cell r="E124" t="str">
            <v>TAIWAN</v>
          </cell>
          <cell r="F124" t="str">
            <v>1 kg</v>
          </cell>
          <cell r="G124" t="str">
            <v>Pkt</v>
          </cell>
          <cell r="H124">
            <v>36</v>
          </cell>
        </row>
        <row r="125">
          <cell r="B125" t="str">
            <v>P2025</v>
          </cell>
          <cell r="C125" t="str">
            <v>VANILLIN　班兰素</v>
          </cell>
          <cell r="D125" t="str">
            <v>CHINA</v>
          </cell>
          <cell r="E125" t="str">
            <v>POLAR</v>
          </cell>
          <cell r="F125" t="str">
            <v>500 GMS/CAN</v>
          </cell>
          <cell r="O125">
            <v>24</v>
          </cell>
          <cell r="DA125">
            <v>19</v>
          </cell>
        </row>
        <row r="126">
          <cell r="B126" t="str">
            <v>P2026</v>
          </cell>
          <cell r="C126" t="str">
            <v>Corn Strach 玉蜀黍粉</v>
          </cell>
          <cell r="F126" t="str">
            <v>400GM X 20</v>
          </cell>
          <cell r="BO126">
            <v>14.399999999999999</v>
          </cell>
        </row>
        <row r="127">
          <cell r="B127" t="str">
            <v>P2026A</v>
          </cell>
          <cell r="C127" t="str">
            <v>Corn Strach 玉蜀黍粉</v>
          </cell>
          <cell r="F127" t="str">
            <v>400GM</v>
          </cell>
          <cell r="I127">
            <v>0.95</v>
          </cell>
          <cell r="DA127">
            <v>0.55000000000000004</v>
          </cell>
        </row>
        <row r="128">
          <cell r="B128" t="str">
            <v>P2027</v>
          </cell>
          <cell r="C128" t="str">
            <v xml:space="preserve">Plain Flour 面粉 </v>
          </cell>
          <cell r="E128" t="str">
            <v>THREE EAGLE</v>
          </cell>
          <cell r="F128" t="str">
            <v>1KG X 10</v>
          </cell>
          <cell r="BO128">
            <v>12</v>
          </cell>
        </row>
        <row r="129">
          <cell r="B129" t="str">
            <v>P2028</v>
          </cell>
          <cell r="C129" t="str">
            <v>Green Tea Powder</v>
          </cell>
          <cell r="D129" t="str">
            <v>Taiwan</v>
          </cell>
          <cell r="E129" t="str">
            <v>TOP</v>
          </cell>
          <cell r="F129" t="str">
            <v>1 KG</v>
          </cell>
        </row>
        <row r="130">
          <cell r="B130" t="str">
            <v>P2029</v>
          </cell>
          <cell r="C130" t="str">
            <v>JELLY POWDER T-80 (BAI LIANG FEN)</v>
          </cell>
          <cell r="D130" t="str">
            <v>Taiwan</v>
          </cell>
          <cell r="E130" t="str">
            <v>TOSU</v>
          </cell>
          <cell r="F130" t="str">
            <v>1 KG</v>
          </cell>
          <cell r="G130" t="str">
            <v>Pkt</v>
          </cell>
          <cell r="H130">
            <v>26</v>
          </cell>
          <cell r="R130">
            <v>38</v>
          </cell>
        </row>
        <row r="131">
          <cell r="B131" t="str">
            <v>P2030</v>
          </cell>
          <cell r="C131" t="str">
            <v>WHEAT FLOUR</v>
          </cell>
          <cell r="D131" t="str">
            <v>-</v>
          </cell>
          <cell r="E131" t="str">
            <v>FISH BRAND</v>
          </cell>
          <cell r="F131" t="str">
            <v>25 KGS</v>
          </cell>
          <cell r="G131" t="str">
            <v>PKT</v>
          </cell>
          <cell r="H131">
            <v>25</v>
          </cell>
          <cell r="BT131">
            <v>36</v>
          </cell>
        </row>
        <row r="132">
          <cell r="B132" t="str">
            <v>P2031</v>
          </cell>
          <cell r="C132" t="str">
            <v>COLD BEAN CURD POWDER</v>
          </cell>
          <cell r="D132" t="str">
            <v>Taiwan</v>
          </cell>
          <cell r="E132" t="str">
            <v>TOP</v>
          </cell>
          <cell r="F132" t="str">
            <v>1 KG</v>
          </cell>
          <cell r="G132" t="str">
            <v>PKT</v>
          </cell>
          <cell r="H132">
            <v>11</v>
          </cell>
          <cell r="I132">
            <v>15</v>
          </cell>
          <cell r="DA132">
            <v>12</v>
          </cell>
        </row>
        <row r="133">
          <cell r="B133" t="str">
            <v>P2032</v>
          </cell>
          <cell r="C133" t="str">
            <v>MESONA LIQUID (GLASS JELLY)</v>
          </cell>
          <cell r="D133" t="str">
            <v>Taiwan</v>
          </cell>
          <cell r="E133" t="str">
            <v>TAIWAN</v>
          </cell>
          <cell r="F133" t="str">
            <v>3 KGS/TIN</v>
          </cell>
          <cell r="G133" t="str">
            <v>PKT</v>
          </cell>
          <cell r="H133">
            <v>7.2</v>
          </cell>
          <cell r="BQ133">
            <v>9.5</v>
          </cell>
        </row>
        <row r="134">
          <cell r="B134" t="str">
            <v>P2033</v>
          </cell>
          <cell r="C134" t="str">
            <v>EGG PUDDING POWDER</v>
          </cell>
          <cell r="D134" t="str">
            <v>Taiwan</v>
          </cell>
          <cell r="E134" t="str">
            <v>TAIWAN</v>
          </cell>
          <cell r="F134" t="str">
            <v>1 KGS</v>
          </cell>
          <cell r="G134" t="str">
            <v>PKT</v>
          </cell>
          <cell r="H134">
            <v>8.8000000000000007</v>
          </cell>
        </row>
        <row r="135">
          <cell r="B135" t="str">
            <v>P2034</v>
          </cell>
          <cell r="C135" t="str">
            <v>AI YI JELLY</v>
          </cell>
          <cell r="D135" t="str">
            <v>Taiwan</v>
          </cell>
          <cell r="E135" t="str">
            <v>TOP</v>
          </cell>
          <cell r="F135" t="str">
            <v>3 KGS/TIN</v>
          </cell>
          <cell r="G135" t="str">
            <v>TIN</v>
          </cell>
        </row>
        <row r="136">
          <cell r="B136" t="str">
            <v>P2035</v>
          </cell>
          <cell r="C136" t="str">
            <v>CHEESE MOUSSE POWDER</v>
          </cell>
          <cell r="D136" t="str">
            <v>Taiwan</v>
          </cell>
          <cell r="E136" t="str">
            <v>-</v>
          </cell>
          <cell r="F136" t="str">
            <v>1 KG</v>
          </cell>
          <cell r="G136" t="str">
            <v>PKT</v>
          </cell>
          <cell r="H136">
            <v>15.5</v>
          </cell>
          <cell r="BU136">
            <v>21</v>
          </cell>
          <cell r="DA136">
            <v>15.5</v>
          </cell>
        </row>
        <row r="137">
          <cell r="B137" t="str">
            <v>P3001</v>
          </cell>
          <cell r="C137" t="str">
            <v>Atap Seeds in Syrup亚嗒子</v>
          </cell>
          <cell r="D137" t="str">
            <v>Indonesia</v>
          </cell>
          <cell r="E137" t="str">
            <v>2P</v>
          </cell>
          <cell r="F137" t="str">
            <v>20 kgs/tin</v>
          </cell>
          <cell r="G137" t="str">
            <v>Tin</v>
          </cell>
          <cell r="H137">
            <v>56</v>
          </cell>
          <cell r="I137">
            <v>0</v>
          </cell>
          <cell r="J137">
            <v>0</v>
          </cell>
          <cell r="O137">
            <v>59</v>
          </cell>
          <cell r="R137">
            <v>59</v>
          </cell>
          <cell r="W137">
            <v>60</v>
          </cell>
          <cell r="AC137">
            <v>61</v>
          </cell>
          <cell r="AP137">
            <v>0</v>
          </cell>
          <cell r="AQ137">
            <v>0</v>
          </cell>
          <cell r="AR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C137">
            <v>0</v>
          </cell>
          <cell r="DA137">
            <v>53</v>
          </cell>
        </row>
        <row r="138">
          <cell r="B138" t="str">
            <v>P3001A</v>
          </cell>
          <cell r="C138" t="str">
            <v>Atap Seeds in Syrup亚嗒子</v>
          </cell>
          <cell r="D138" t="str">
            <v>Indonesia</v>
          </cell>
          <cell r="E138" t="str">
            <v>DO!</v>
          </cell>
          <cell r="F138" t="str">
            <v>NW (2.1:0.9) 3 kgs</v>
          </cell>
          <cell r="G138" t="str">
            <v>Bag</v>
          </cell>
          <cell r="L138">
            <v>11.5</v>
          </cell>
          <cell r="M138">
            <v>11.5</v>
          </cell>
          <cell r="N138">
            <v>11.5</v>
          </cell>
          <cell r="O138">
            <v>11.5</v>
          </cell>
          <cell r="P138">
            <v>11.5</v>
          </cell>
          <cell r="Q138">
            <v>10.5</v>
          </cell>
          <cell r="R138">
            <v>10.5</v>
          </cell>
          <cell r="S138">
            <v>10.5</v>
          </cell>
          <cell r="U138">
            <v>11.5</v>
          </cell>
          <cell r="V138">
            <v>10.5</v>
          </cell>
          <cell r="Z138">
            <v>10.5</v>
          </cell>
          <cell r="AB138">
            <v>10.5</v>
          </cell>
          <cell r="AE138">
            <v>12</v>
          </cell>
          <cell r="AJ138">
            <v>12</v>
          </cell>
          <cell r="BK138">
            <v>10.8</v>
          </cell>
          <cell r="BU138">
            <v>10.8</v>
          </cell>
          <cell r="BZ138">
            <v>11.5</v>
          </cell>
          <cell r="CC138">
            <v>10.8</v>
          </cell>
          <cell r="DA138">
            <v>5.628000000000001</v>
          </cell>
        </row>
        <row r="139">
          <cell r="B139" t="str">
            <v>P3001B</v>
          </cell>
          <cell r="C139" t="str">
            <v>Atap Seeds in Syrup亚嗒子</v>
          </cell>
          <cell r="D139" t="str">
            <v>Indonesia</v>
          </cell>
          <cell r="E139" t="str">
            <v>DO!</v>
          </cell>
          <cell r="F139" t="str">
            <v>NW (1.6:0.6) 2.2 kgs</v>
          </cell>
          <cell r="G139" t="str">
            <v>Bag</v>
          </cell>
          <cell r="H139">
            <v>9</v>
          </cell>
          <cell r="I139">
            <v>10</v>
          </cell>
          <cell r="J139">
            <v>9</v>
          </cell>
          <cell r="AO139">
            <v>9</v>
          </cell>
          <cell r="AP139">
            <v>9</v>
          </cell>
          <cell r="AQ139">
            <v>9</v>
          </cell>
          <cell r="AR139">
            <v>9</v>
          </cell>
          <cell r="AT139">
            <v>9</v>
          </cell>
          <cell r="AU139">
            <v>9</v>
          </cell>
          <cell r="AV139">
            <v>9</v>
          </cell>
          <cell r="AW139">
            <v>9</v>
          </cell>
          <cell r="AX139">
            <v>9</v>
          </cell>
          <cell r="AY139">
            <v>9</v>
          </cell>
          <cell r="AZ139">
            <v>9</v>
          </cell>
          <cell r="BA139">
            <v>9</v>
          </cell>
          <cell r="BC139">
            <v>9</v>
          </cell>
          <cell r="BX139">
            <v>9</v>
          </cell>
          <cell r="DA139">
            <v>4.8240000000000007</v>
          </cell>
        </row>
        <row r="140">
          <cell r="B140" t="str">
            <v>P3001C</v>
          </cell>
          <cell r="C140" t="str">
            <v>Atap Seeds in Syrup亚嗒子</v>
          </cell>
          <cell r="E140" t="str">
            <v>DO!</v>
          </cell>
          <cell r="F140" t="str">
            <v>200:100</v>
          </cell>
          <cell r="G140" t="str">
            <v>Bag</v>
          </cell>
          <cell r="BO140">
            <v>1.2</v>
          </cell>
        </row>
        <row r="141">
          <cell r="B141" t="str">
            <v>P3002</v>
          </cell>
          <cell r="C141" t="str">
            <v>Chin Chow  仙草</v>
          </cell>
          <cell r="D141" t="str">
            <v>Singapore</v>
          </cell>
          <cell r="E141" t="str">
            <v>TSM</v>
          </cell>
          <cell r="F141" t="str">
            <v>5KGS/PKT</v>
          </cell>
          <cell r="G141" t="str">
            <v>Pkt</v>
          </cell>
          <cell r="H141">
            <v>4.5</v>
          </cell>
          <cell r="I141">
            <v>4.5</v>
          </cell>
          <cell r="J141">
            <v>4.5</v>
          </cell>
          <cell r="L141">
            <v>5</v>
          </cell>
          <cell r="M141">
            <v>4.5</v>
          </cell>
          <cell r="N141">
            <v>5</v>
          </cell>
          <cell r="O141">
            <v>4.5</v>
          </cell>
          <cell r="P141">
            <v>5</v>
          </cell>
          <cell r="Q141">
            <v>5</v>
          </cell>
          <cell r="R141">
            <v>4.5</v>
          </cell>
          <cell r="S141">
            <v>6</v>
          </cell>
          <cell r="V141">
            <v>4.5</v>
          </cell>
          <cell r="AB141">
            <v>5</v>
          </cell>
          <cell r="AC141">
            <v>5</v>
          </cell>
          <cell r="AF141">
            <v>5</v>
          </cell>
          <cell r="AJ141">
            <v>5</v>
          </cell>
          <cell r="AM141">
            <v>5</v>
          </cell>
          <cell r="AP141">
            <v>4.5</v>
          </cell>
          <cell r="AQ141">
            <v>4.5</v>
          </cell>
          <cell r="AR141">
            <v>4.5</v>
          </cell>
          <cell r="AT141">
            <v>4.5</v>
          </cell>
          <cell r="AU141">
            <v>4.5</v>
          </cell>
          <cell r="AV141">
            <v>4.5</v>
          </cell>
          <cell r="AW141">
            <v>4.5</v>
          </cell>
          <cell r="AX141">
            <v>4.5</v>
          </cell>
          <cell r="AY141">
            <v>4.5</v>
          </cell>
          <cell r="AZ141">
            <v>4.5</v>
          </cell>
          <cell r="BA141">
            <v>4.5</v>
          </cell>
          <cell r="BC141">
            <v>4.5</v>
          </cell>
          <cell r="BK141">
            <v>5</v>
          </cell>
          <cell r="BL141">
            <v>5</v>
          </cell>
          <cell r="BU141">
            <v>5</v>
          </cell>
          <cell r="BX141">
            <v>4.5</v>
          </cell>
          <cell r="BY141">
            <v>5</v>
          </cell>
          <cell r="DA141">
            <v>4</v>
          </cell>
        </row>
        <row r="142">
          <cell r="B142" t="str">
            <v>P3003</v>
          </cell>
          <cell r="C142" t="str">
            <v>Selaseh (Basil Seed) 青蛙蛋</v>
          </cell>
          <cell r="D142" t="str">
            <v>INDONESIA</v>
          </cell>
          <cell r="E142" t="str">
            <v>Tukhmaria</v>
          </cell>
          <cell r="F142" t="str">
            <v>500 gm</v>
          </cell>
          <cell r="G142" t="str">
            <v>Bag</v>
          </cell>
          <cell r="H142">
            <v>6</v>
          </cell>
          <cell r="I142">
            <v>6</v>
          </cell>
          <cell r="J142">
            <v>6</v>
          </cell>
          <cell r="O142">
            <v>6</v>
          </cell>
          <cell r="P142">
            <v>6</v>
          </cell>
          <cell r="Q142">
            <v>6</v>
          </cell>
          <cell r="R142">
            <v>6</v>
          </cell>
          <cell r="AA142">
            <v>6</v>
          </cell>
          <cell r="AC142">
            <v>6</v>
          </cell>
          <cell r="AP142">
            <v>6</v>
          </cell>
          <cell r="AQ142">
            <v>6</v>
          </cell>
          <cell r="AR142">
            <v>6</v>
          </cell>
          <cell r="AT142">
            <v>6</v>
          </cell>
          <cell r="AU142">
            <v>6</v>
          </cell>
          <cell r="AV142">
            <v>6</v>
          </cell>
          <cell r="AW142">
            <v>6</v>
          </cell>
          <cell r="AX142">
            <v>6</v>
          </cell>
          <cell r="AY142">
            <v>6</v>
          </cell>
          <cell r="AZ142">
            <v>6</v>
          </cell>
          <cell r="BA142">
            <v>6</v>
          </cell>
          <cell r="BC142">
            <v>6</v>
          </cell>
          <cell r="BK142">
            <v>6</v>
          </cell>
          <cell r="BZ142">
            <v>6</v>
          </cell>
          <cell r="DA142">
            <v>3.25</v>
          </cell>
        </row>
        <row r="143">
          <cell r="B143" t="str">
            <v>P3003A</v>
          </cell>
          <cell r="C143" t="str">
            <v>Selaseh (Basil Seed) 青蛙蛋</v>
          </cell>
          <cell r="D143" t="str">
            <v>INDONESIA</v>
          </cell>
          <cell r="E143" t="str">
            <v>Tukhmaria</v>
          </cell>
          <cell r="F143" t="str">
            <v>1 kg</v>
          </cell>
          <cell r="G143" t="str">
            <v>Bag</v>
          </cell>
          <cell r="H143">
            <v>12</v>
          </cell>
          <cell r="K143">
            <v>13</v>
          </cell>
          <cell r="DA143">
            <v>6.5</v>
          </cell>
        </row>
        <row r="144">
          <cell r="B144" t="str">
            <v>P3004</v>
          </cell>
          <cell r="C144" t="str">
            <v>GingKo Nut (Peel off)白果仁</v>
          </cell>
          <cell r="D144" t="str">
            <v>China</v>
          </cell>
          <cell r="E144" t="str">
            <v>-</v>
          </cell>
          <cell r="F144" t="str">
            <v>500GM X 24</v>
          </cell>
          <cell r="G144" t="str">
            <v>CARTON</v>
          </cell>
          <cell r="H144">
            <v>36</v>
          </cell>
          <cell r="AE144">
            <v>50</v>
          </cell>
          <cell r="DA144">
            <v>38</v>
          </cell>
        </row>
        <row r="145">
          <cell r="B145" t="str">
            <v>P3004A</v>
          </cell>
          <cell r="C145" t="str">
            <v>GingKo Nut (Peel off)白果仁</v>
          </cell>
          <cell r="D145" t="str">
            <v>China</v>
          </cell>
          <cell r="E145" t="str">
            <v>-</v>
          </cell>
          <cell r="F145" t="str">
            <v>1 kg (2 X 500GM)</v>
          </cell>
          <cell r="G145" t="str">
            <v>Pkt</v>
          </cell>
          <cell r="H145">
            <v>3</v>
          </cell>
          <cell r="I145">
            <v>5</v>
          </cell>
          <cell r="J145">
            <v>5</v>
          </cell>
          <cell r="N145">
            <v>5</v>
          </cell>
          <cell r="AJ145">
            <v>5</v>
          </cell>
          <cell r="AQ145">
            <v>5</v>
          </cell>
          <cell r="AR145">
            <v>5</v>
          </cell>
          <cell r="AT145">
            <v>5</v>
          </cell>
          <cell r="AW145">
            <v>5</v>
          </cell>
          <cell r="AX145">
            <v>5</v>
          </cell>
          <cell r="AY145">
            <v>5</v>
          </cell>
          <cell r="BA145">
            <v>5</v>
          </cell>
          <cell r="BC145">
            <v>5</v>
          </cell>
          <cell r="BO145">
            <v>5</v>
          </cell>
          <cell r="BU145">
            <v>5</v>
          </cell>
          <cell r="DA145">
            <v>3.1666666666666665</v>
          </cell>
        </row>
        <row r="146">
          <cell r="B146" t="str">
            <v>P3005</v>
          </cell>
          <cell r="C146" t="str">
            <v>Red Bean红豆</v>
          </cell>
          <cell r="D146" t="str">
            <v>China</v>
          </cell>
          <cell r="E146" t="str">
            <v>-</v>
          </cell>
          <cell r="F146" t="str">
            <v>25 kgs/Bag</v>
          </cell>
          <cell r="G146" t="str">
            <v>Bag</v>
          </cell>
          <cell r="H146">
            <v>81.25</v>
          </cell>
          <cell r="K146">
            <v>90</v>
          </cell>
          <cell r="L146">
            <v>92</v>
          </cell>
          <cell r="O146">
            <v>90</v>
          </cell>
          <cell r="BE146">
            <v>92</v>
          </cell>
          <cell r="DA146">
            <v>85</v>
          </cell>
        </row>
        <row r="147">
          <cell r="B147" t="str">
            <v>P3005A</v>
          </cell>
          <cell r="C147" t="str">
            <v>Red Bean红豆 (5.5 mm)</v>
          </cell>
          <cell r="D147" t="str">
            <v>China</v>
          </cell>
          <cell r="E147" t="str">
            <v>-</v>
          </cell>
          <cell r="F147" t="str">
            <v>5 kgs</v>
          </cell>
          <cell r="G147" t="str">
            <v>Bag</v>
          </cell>
          <cell r="H147">
            <v>16.25</v>
          </cell>
          <cell r="I147">
            <v>20</v>
          </cell>
          <cell r="J147">
            <v>20.5</v>
          </cell>
          <cell r="N147">
            <v>20.5</v>
          </cell>
          <cell r="P147">
            <v>20</v>
          </cell>
          <cell r="Q147">
            <v>20.8</v>
          </cell>
          <cell r="R147">
            <v>21</v>
          </cell>
          <cell r="S147">
            <v>21</v>
          </cell>
          <cell r="T147">
            <v>22</v>
          </cell>
          <cell r="V147">
            <v>20</v>
          </cell>
          <cell r="AB147">
            <v>20</v>
          </cell>
          <cell r="AF147">
            <v>21</v>
          </cell>
          <cell r="AG147">
            <v>21</v>
          </cell>
          <cell r="AP147">
            <v>20.5</v>
          </cell>
          <cell r="AQ147">
            <v>20.5</v>
          </cell>
          <cell r="AT147">
            <v>20.5</v>
          </cell>
          <cell r="AU147">
            <v>20.5</v>
          </cell>
          <cell r="AV147">
            <v>20.5</v>
          </cell>
          <cell r="AW147">
            <v>20.5</v>
          </cell>
          <cell r="AX147">
            <v>20.5</v>
          </cell>
          <cell r="AY147">
            <v>20.5</v>
          </cell>
          <cell r="AZ147">
            <v>20.5</v>
          </cell>
          <cell r="BA147">
            <v>20.5</v>
          </cell>
          <cell r="BC147">
            <v>20.5</v>
          </cell>
          <cell r="BD147">
            <v>21</v>
          </cell>
          <cell r="BE147">
            <v>20</v>
          </cell>
          <cell r="BG147">
            <v>21</v>
          </cell>
          <cell r="BZ147">
            <v>20.5</v>
          </cell>
          <cell r="DA147">
            <v>17</v>
          </cell>
        </row>
        <row r="148">
          <cell r="B148" t="str">
            <v>P3005B</v>
          </cell>
          <cell r="C148" t="str">
            <v>Red Bean红豆</v>
          </cell>
          <cell r="E148" t="str">
            <v>-</v>
          </cell>
          <cell r="F148" t="str">
            <v>2.5 KGS</v>
          </cell>
          <cell r="G148" t="str">
            <v>Bag</v>
          </cell>
          <cell r="H148">
            <v>11.375</v>
          </cell>
          <cell r="DA148">
            <v>11.9</v>
          </cell>
        </row>
        <row r="149">
          <cell r="B149" t="str">
            <v>P3005C</v>
          </cell>
          <cell r="C149" t="str">
            <v>Red Bean红豆</v>
          </cell>
          <cell r="E149" t="str">
            <v>-</v>
          </cell>
          <cell r="F149" t="str">
            <v>3 kgs</v>
          </cell>
          <cell r="G149" t="str">
            <v>Bag</v>
          </cell>
          <cell r="H149">
            <v>9.75</v>
          </cell>
          <cell r="I149">
            <v>12.5</v>
          </cell>
          <cell r="DA149">
            <v>10.199999999999999</v>
          </cell>
        </row>
        <row r="150">
          <cell r="B150" t="str">
            <v>P3005D</v>
          </cell>
          <cell r="C150" t="str">
            <v>Red Bean红豆</v>
          </cell>
          <cell r="E150" t="str">
            <v>-</v>
          </cell>
          <cell r="F150" t="str">
            <v>1 KG</v>
          </cell>
          <cell r="G150" t="str">
            <v>Bag</v>
          </cell>
          <cell r="H150">
            <v>3.25</v>
          </cell>
          <cell r="DA150">
            <v>3.4</v>
          </cell>
        </row>
        <row r="151">
          <cell r="B151" t="str">
            <v>P3005E</v>
          </cell>
          <cell r="C151" t="str">
            <v>Red Bean红豆</v>
          </cell>
          <cell r="D151" t="str">
            <v>China</v>
          </cell>
          <cell r="E151" t="str">
            <v>-</v>
          </cell>
          <cell r="F151" t="str">
            <v>2.5 KGS</v>
          </cell>
          <cell r="G151" t="str">
            <v>Bag</v>
          </cell>
        </row>
        <row r="152">
          <cell r="B152" t="str">
            <v>P3006</v>
          </cell>
          <cell r="C152" t="str">
            <v>Small Red Bean小红豆</v>
          </cell>
          <cell r="D152" t="str">
            <v>China</v>
          </cell>
          <cell r="E152" t="str">
            <v>-</v>
          </cell>
          <cell r="F152" t="str">
            <v>25 KGS</v>
          </cell>
          <cell r="G152" t="str">
            <v>Bag</v>
          </cell>
          <cell r="H152">
            <v>72.5</v>
          </cell>
          <cell r="DA152">
            <v>82.5</v>
          </cell>
        </row>
        <row r="153">
          <cell r="B153" t="str">
            <v>P3006A</v>
          </cell>
          <cell r="C153" t="str">
            <v>Small Red Bean小红豆</v>
          </cell>
          <cell r="D153" t="str">
            <v>China</v>
          </cell>
          <cell r="E153" t="str">
            <v>-</v>
          </cell>
          <cell r="F153" t="str">
            <v>5 kgs</v>
          </cell>
          <cell r="G153" t="str">
            <v>Bag</v>
          </cell>
          <cell r="H153">
            <v>14.5</v>
          </cell>
          <cell r="J153">
            <v>20.5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V153">
            <v>20</v>
          </cell>
          <cell r="AO153">
            <v>20.5</v>
          </cell>
          <cell r="AP153">
            <v>20.5</v>
          </cell>
          <cell r="AR153">
            <v>20.5</v>
          </cell>
          <cell r="BU153">
            <v>20</v>
          </cell>
          <cell r="BX153">
            <v>20.5</v>
          </cell>
          <cell r="CB153">
            <v>20</v>
          </cell>
          <cell r="DA153">
            <v>16.5</v>
          </cell>
        </row>
        <row r="154">
          <cell r="B154" t="str">
            <v>P3006B</v>
          </cell>
          <cell r="C154" t="str">
            <v>Small Red Bean小红豆</v>
          </cell>
          <cell r="E154" t="str">
            <v>-</v>
          </cell>
          <cell r="F154" t="str">
            <v>2.5 kgs</v>
          </cell>
          <cell r="G154" t="str">
            <v>Bag</v>
          </cell>
          <cell r="H154">
            <v>7.25</v>
          </cell>
          <cell r="DA154">
            <v>8.25</v>
          </cell>
        </row>
        <row r="155">
          <cell r="B155" t="str">
            <v>P3006C</v>
          </cell>
          <cell r="C155" t="str">
            <v>Small Red Bean小红豆</v>
          </cell>
          <cell r="E155" t="str">
            <v>-</v>
          </cell>
          <cell r="F155" t="str">
            <v>1 KG</v>
          </cell>
          <cell r="G155" t="str">
            <v>Bag</v>
          </cell>
          <cell r="H155">
            <v>2.9</v>
          </cell>
          <cell r="DA155">
            <v>3.3</v>
          </cell>
        </row>
        <row r="156">
          <cell r="B156" t="str">
            <v>P3007</v>
          </cell>
          <cell r="C156" t="str">
            <v>Kidney Bean 大红豆 (美国）</v>
          </cell>
          <cell r="E156" t="str">
            <v>-</v>
          </cell>
          <cell r="F156" t="str">
            <v>25 KGS</v>
          </cell>
          <cell r="G156" t="str">
            <v>Bag</v>
          </cell>
          <cell r="H156">
            <v>65</v>
          </cell>
          <cell r="DA156">
            <v>65</v>
          </cell>
        </row>
        <row r="157">
          <cell r="B157" t="str">
            <v>P3007A</v>
          </cell>
          <cell r="C157" t="str">
            <v>Kidney Bean 大红豆 (美国）</v>
          </cell>
          <cell r="E157" t="str">
            <v>-</v>
          </cell>
          <cell r="F157" t="str">
            <v>5 kgs</v>
          </cell>
          <cell r="G157" t="str">
            <v>Bag</v>
          </cell>
          <cell r="H157">
            <v>13</v>
          </cell>
          <cell r="I157">
            <v>0</v>
          </cell>
          <cell r="DA157">
            <v>13</v>
          </cell>
        </row>
        <row r="158">
          <cell r="B158" t="str">
            <v>P3007B</v>
          </cell>
          <cell r="C158" t="str">
            <v>Kidney Bean 大红豆 (美国）</v>
          </cell>
          <cell r="E158" t="str">
            <v>-</v>
          </cell>
          <cell r="F158" t="str">
            <v>1 KG</v>
          </cell>
          <cell r="DA158">
            <v>2.6</v>
          </cell>
        </row>
        <row r="159">
          <cell r="B159" t="str">
            <v>P3008</v>
          </cell>
          <cell r="C159" t="str">
            <v>Chia Tao赤豆</v>
          </cell>
          <cell r="D159" t="str">
            <v>China</v>
          </cell>
          <cell r="E159" t="str">
            <v>-</v>
          </cell>
          <cell r="F159" t="str">
            <v>25 kgs</v>
          </cell>
          <cell r="G159" t="str">
            <v>Bag</v>
          </cell>
          <cell r="H159">
            <v>65</v>
          </cell>
          <cell r="AC159">
            <v>75</v>
          </cell>
          <cell r="DA159">
            <v>62.5</v>
          </cell>
        </row>
        <row r="160">
          <cell r="B160" t="str">
            <v>P3008A</v>
          </cell>
          <cell r="C160" t="str">
            <v>Chia Tao赤豆</v>
          </cell>
          <cell r="E160" t="str">
            <v>-</v>
          </cell>
          <cell r="F160" t="str">
            <v>5 kgs</v>
          </cell>
          <cell r="G160" t="str">
            <v>Bag</v>
          </cell>
          <cell r="H160">
            <v>13</v>
          </cell>
          <cell r="I160">
            <v>0</v>
          </cell>
          <cell r="N160">
            <v>18</v>
          </cell>
          <cell r="O160">
            <v>18</v>
          </cell>
          <cell r="P160">
            <v>18</v>
          </cell>
          <cell r="Q160">
            <v>18</v>
          </cell>
          <cell r="R160">
            <v>18</v>
          </cell>
          <cell r="V160">
            <v>18</v>
          </cell>
          <cell r="AC160">
            <v>18</v>
          </cell>
          <cell r="BK160">
            <v>19</v>
          </cell>
          <cell r="DA160">
            <v>12.5</v>
          </cell>
        </row>
        <row r="161">
          <cell r="B161" t="str">
            <v>P3008B</v>
          </cell>
          <cell r="C161" t="str">
            <v>Chia Tao赤豆</v>
          </cell>
          <cell r="E161" t="str">
            <v>-</v>
          </cell>
          <cell r="F161" t="str">
            <v>300 GMS</v>
          </cell>
          <cell r="G161" t="str">
            <v>Bag</v>
          </cell>
          <cell r="H161">
            <v>0.77999999999999992</v>
          </cell>
          <cell r="BO161">
            <v>0.9</v>
          </cell>
        </row>
        <row r="162">
          <cell r="B162" t="str">
            <v>P3009</v>
          </cell>
          <cell r="C162" t="str">
            <v>Green Bean 绿豆</v>
          </cell>
          <cell r="E162" t="str">
            <v>-</v>
          </cell>
          <cell r="F162" t="str">
            <v>25 kgs/Bag</v>
          </cell>
          <cell r="G162" t="str">
            <v>Bag</v>
          </cell>
          <cell r="H162">
            <v>50</v>
          </cell>
          <cell r="K162">
            <v>55</v>
          </cell>
          <cell r="L162">
            <v>60</v>
          </cell>
          <cell r="O162">
            <v>60</v>
          </cell>
          <cell r="AC162">
            <v>60</v>
          </cell>
          <cell r="DA162">
            <v>47.5</v>
          </cell>
        </row>
        <row r="163">
          <cell r="B163" t="str">
            <v>P3009A</v>
          </cell>
          <cell r="C163" t="str">
            <v>Green Bean 绿豆</v>
          </cell>
          <cell r="D163" t="str">
            <v>Aust</v>
          </cell>
          <cell r="E163" t="str">
            <v>-</v>
          </cell>
          <cell r="F163" t="str">
            <v>5 kgs</v>
          </cell>
          <cell r="G163" t="str">
            <v>Bag</v>
          </cell>
          <cell r="H163">
            <v>10</v>
          </cell>
          <cell r="I163">
            <v>14</v>
          </cell>
          <cell r="J163">
            <v>13</v>
          </cell>
          <cell r="N163">
            <v>14</v>
          </cell>
          <cell r="P163">
            <v>14</v>
          </cell>
          <cell r="Q163">
            <v>14</v>
          </cell>
          <cell r="R163">
            <v>13.5</v>
          </cell>
          <cell r="S163">
            <v>14</v>
          </cell>
          <cell r="T163">
            <v>14.5</v>
          </cell>
          <cell r="V163">
            <v>14.5</v>
          </cell>
          <cell r="AC163">
            <v>13.5</v>
          </cell>
          <cell r="AF163">
            <v>14</v>
          </cell>
          <cell r="AG163">
            <v>14</v>
          </cell>
          <cell r="AO163">
            <v>13</v>
          </cell>
          <cell r="AP163">
            <v>13</v>
          </cell>
          <cell r="AQ163">
            <v>13</v>
          </cell>
          <cell r="AR163">
            <v>13</v>
          </cell>
          <cell r="AT163">
            <v>13</v>
          </cell>
          <cell r="AU163">
            <v>13</v>
          </cell>
          <cell r="AV163">
            <v>13</v>
          </cell>
          <cell r="AW163">
            <v>13</v>
          </cell>
          <cell r="AX163">
            <v>13</v>
          </cell>
          <cell r="AY163">
            <v>13</v>
          </cell>
          <cell r="AZ163">
            <v>13</v>
          </cell>
          <cell r="BA163">
            <v>13</v>
          </cell>
          <cell r="BC163">
            <v>13</v>
          </cell>
          <cell r="BD163">
            <v>14</v>
          </cell>
          <cell r="BU163">
            <v>14</v>
          </cell>
          <cell r="BX163">
            <v>13</v>
          </cell>
          <cell r="BZ163">
            <v>14</v>
          </cell>
          <cell r="DA163">
            <v>9.3999999999999986</v>
          </cell>
        </row>
        <row r="164">
          <cell r="B164" t="str">
            <v>P3009B</v>
          </cell>
          <cell r="C164" t="str">
            <v>Green Bean 绿豆</v>
          </cell>
          <cell r="E164" t="str">
            <v>-</v>
          </cell>
          <cell r="F164" t="str">
            <v>2.5 KGS</v>
          </cell>
          <cell r="G164" t="str">
            <v>Bag</v>
          </cell>
          <cell r="H164">
            <v>7</v>
          </cell>
          <cell r="DA164">
            <v>6.58</v>
          </cell>
        </row>
        <row r="165">
          <cell r="B165" t="str">
            <v>P3009C</v>
          </cell>
          <cell r="C165" t="str">
            <v>Green Bean 绿豆</v>
          </cell>
          <cell r="E165" t="str">
            <v>-</v>
          </cell>
          <cell r="F165" t="str">
            <v>1 KG</v>
          </cell>
          <cell r="G165" t="str">
            <v>Bag</v>
          </cell>
          <cell r="H165">
            <v>2</v>
          </cell>
          <cell r="DA165">
            <v>1.88</v>
          </cell>
        </row>
        <row r="166">
          <cell r="B166" t="str">
            <v>P3009D</v>
          </cell>
          <cell r="C166" t="str">
            <v>Green Bean 绿豆</v>
          </cell>
          <cell r="E166" t="str">
            <v>-</v>
          </cell>
          <cell r="F166" t="str">
            <v>3 KGS</v>
          </cell>
          <cell r="G166" t="str">
            <v>Bag</v>
          </cell>
          <cell r="I166">
            <v>8.6999999999999993</v>
          </cell>
          <cell r="DA166">
            <v>5.64</v>
          </cell>
        </row>
        <row r="167">
          <cell r="B167" t="str">
            <v>P3010</v>
          </cell>
          <cell r="C167" t="str">
            <v>SOYABEAN</v>
          </cell>
          <cell r="D167" t="str">
            <v>China</v>
          </cell>
          <cell r="F167" t="str">
            <v>25 KGS</v>
          </cell>
          <cell r="G167" t="str">
            <v>BAG</v>
          </cell>
        </row>
        <row r="168">
          <cell r="B168" t="str">
            <v>P3011</v>
          </cell>
          <cell r="C168" t="str">
            <v>BLACK BEAN</v>
          </cell>
          <cell r="D168" t="str">
            <v>China</v>
          </cell>
          <cell r="F168" t="str">
            <v>25 KGS</v>
          </cell>
          <cell r="G168" t="str">
            <v>BAG</v>
          </cell>
        </row>
        <row r="169">
          <cell r="B169" t="str">
            <v>P3012</v>
          </cell>
          <cell r="C169" t="str">
            <v>Split Green Mung Bean豆畔</v>
          </cell>
          <cell r="D169" t="str">
            <v>Thailand</v>
          </cell>
          <cell r="E169" t="str">
            <v>TH/Sw</v>
          </cell>
          <cell r="F169" t="str">
            <v>30 kgs/Bag</v>
          </cell>
          <cell r="G169" t="str">
            <v>Bag</v>
          </cell>
          <cell r="H169">
            <v>70</v>
          </cell>
          <cell r="K169">
            <v>78</v>
          </cell>
          <cell r="L169">
            <v>80</v>
          </cell>
          <cell r="M169">
            <v>80</v>
          </cell>
          <cell r="BE169">
            <v>84</v>
          </cell>
          <cell r="DA169">
            <v>73</v>
          </cell>
        </row>
        <row r="170">
          <cell r="B170" t="str">
            <v>P3012A</v>
          </cell>
          <cell r="C170" t="str">
            <v>Split Green Mung Bean豆畔</v>
          </cell>
          <cell r="D170" t="str">
            <v>Thailand</v>
          </cell>
          <cell r="E170" t="str">
            <v>-</v>
          </cell>
          <cell r="F170" t="str">
            <v>5 KG</v>
          </cell>
          <cell r="G170" t="str">
            <v>Bag</v>
          </cell>
          <cell r="H170">
            <v>14</v>
          </cell>
          <cell r="I170">
            <v>17</v>
          </cell>
          <cell r="L170">
            <v>17</v>
          </cell>
          <cell r="M170">
            <v>17</v>
          </cell>
          <cell r="O170">
            <v>17</v>
          </cell>
          <cell r="P170">
            <v>17</v>
          </cell>
          <cell r="Q170">
            <v>17</v>
          </cell>
          <cell r="R170">
            <v>17</v>
          </cell>
          <cell r="S170">
            <v>17</v>
          </cell>
          <cell r="V170">
            <v>17</v>
          </cell>
          <cell r="AC170">
            <v>17</v>
          </cell>
          <cell r="AF170">
            <v>17</v>
          </cell>
          <cell r="AG170">
            <v>16.5</v>
          </cell>
          <cell r="BG170">
            <v>18</v>
          </cell>
          <cell r="BK170">
            <v>19</v>
          </cell>
          <cell r="BZ170">
            <v>17</v>
          </cell>
          <cell r="DA170">
            <v>12.166666666666666</v>
          </cell>
        </row>
        <row r="171">
          <cell r="B171" t="str">
            <v>P3012B</v>
          </cell>
          <cell r="C171" t="str">
            <v>Split Green Mung Bean豆畔</v>
          </cell>
          <cell r="E171" t="str">
            <v>-</v>
          </cell>
          <cell r="F171" t="str">
            <v>3 KG</v>
          </cell>
          <cell r="G171" t="str">
            <v>Bag</v>
          </cell>
          <cell r="H171">
            <v>8.3999999999999986</v>
          </cell>
          <cell r="I171">
            <v>10.5</v>
          </cell>
          <cell r="AJ171">
            <v>11</v>
          </cell>
          <cell r="DA171">
            <v>7.2999999999999989</v>
          </cell>
        </row>
        <row r="172">
          <cell r="B172" t="str">
            <v>P3012C</v>
          </cell>
          <cell r="C172" t="str">
            <v>Split Green Mung Bean豆畔</v>
          </cell>
          <cell r="E172" t="str">
            <v>-</v>
          </cell>
          <cell r="F172" t="str">
            <v>2 kg</v>
          </cell>
          <cell r="G172" t="str">
            <v>Bag</v>
          </cell>
          <cell r="H172">
            <v>5.6</v>
          </cell>
          <cell r="DA172">
            <v>4.8666666666666663</v>
          </cell>
        </row>
        <row r="173">
          <cell r="B173" t="str">
            <v>P3012D</v>
          </cell>
          <cell r="C173" t="str">
            <v>Split Green Mung Bean豆畔</v>
          </cell>
          <cell r="E173" t="str">
            <v>SW Thailand</v>
          </cell>
          <cell r="F173" t="str">
            <v>1 KG</v>
          </cell>
          <cell r="G173" t="str">
            <v>Bag</v>
          </cell>
          <cell r="H173">
            <v>2.8</v>
          </cell>
          <cell r="DA173">
            <v>2.4333333333333331</v>
          </cell>
        </row>
        <row r="174">
          <cell r="B174" t="str">
            <v>P3012E</v>
          </cell>
          <cell r="C174" t="str">
            <v>Split Green Mung Bean豆畔</v>
          </cell>
          <cell r="E174" t="str">
            <v>SW Thailand</v>
          </cell>
          <cell r="F174" t="str">
            <v>500 GM</v>
          </cell>
          <cell r="G174" t="str">
            <v>Bag</v>
          </cell>
          <cell r="H174">
            <v>1.4</v>
          </cell>
          <cell r="DA174">
            <v>1.2166666666666666</v>
          </cell>
        </row>
        <row r="175">
          <cell r="B175" t="str">
            <v>P3013</v>
          </cell>
          <cell r="C175" t="str">
            <v>Black Glutinous Rice 黑糯米</v>
          </cell>
          <cell r="E175" t="str">
            <v>INDONESIA</v>
          </cell>
          <cell r="F175" t="str">
            <v>25 kgs/Bag</v>
          </cell>
          <cell r="G175" t="str">
            <v>Bag</v>
          </cell>
          <cell r="H175">
            <v>62</v>
          </cell>
          <cell r="K175">
            <v>77</v>
          </cell>
          <cell r="L175">
            <v>80</v>
          </cell>
          <cell r="M175">
            <v>80</v>
          </cell>
          <cell r="BE175">
            <v>80</v>
          </cell>
          <cell r="DA175">
            <v>60</v>
          </cell>
        </row>
        <row r="176">
          <cell r="B176" t="str">
            <v>P3013A</v>
          </cell>
          <cell r="C176" t="str">
            <v>Black Glutinous Rice 黑糯米</v>
          </cell>
          <cell r="D176" t="str">
            <v>Indonesia</v>
          </cell>
          <cell r="E176" t="str">
            <v>-</v>
          </cell>
          <cell r="F176" t="str">
            <v>5 kgs</v>
          </cell>
          <cell r="G176" t="str">
            <v>Bag</v>
          </cell>
          <cell r="H176">
            <v>12.4</v>
          </cell>
          <cell r="I176">
            <v>18</v>
          </cell>
          <cell r="J176">
            <v>18</v>
          </cell>
          <cell r="L176">
            <v>18</v>
          </cell>
          <cell r="N176">
            <v>18</v>
          </cell>
          <cell r="O176">
            <v>18</v>
          </cell>
          <cell r="P176">
            <v>18</v>
          </cell>
          <cell r="Q176">
            <v>18</v>
          </cell>
          <cell r="R176">
            <v>18</v>
          </cell>
          <cell r="S176">
            <v>19</v>
          </cell>
          <cell r="V176">
            <v>18</v>
          </cell>
          <cell r="AC176">
            <v>18</v>
          </cell>
          <cell r="AF176">
            <v>18</v>
          </cell>
          <cell r="AG176">
            <v>18</v>
          </cell>
          <cell r="AO176">
            <v>18</v>
          </cell>
          <cell r="AP176">
            <v>18</v>
          </cell>
          <cell r="AQ176">
            <v>18</v>
          </cell>
          <cell r="AR176">
            <v>18</v>
          </cell>
          <cell r="AT176">
            <v>18</v>
          </cell>
          <cell r="AU176">
            <v>18</v>
          </cell>
          <cell r="AV176">
            <v>18</v>
          </cell>
          <cell r="AW176">
            <v>18</v>
          </cell>
          <cell r="AX176">
            <v>18</v>
          </cell>
          <cell r="AY176">
            <v>18</v>
          </cell>
          <cell r="AZ176">
            <v>18</v>
          </cell>
          <cell r="BA176">
            <v>18</v>
          </cell>
          <cell r="BC176">
            <v>18</v>
          </cell>
          <cell r="BE176">
            <v>18</v>
          </cell>
          <cell r="BU176">
            <v>18</v>
          </cell>
          <cell r="BX176">
            <v>18</v>
          </cell>
          <cell r="BZ176">
            <v>18</v>
          </cell>
          <cell r="DA176">
            <v>12</v>
          </cell>
        </row>
        <row r="177">
          <cell r="B177" t="str">
            <v>P3013B</v>
          </cell>
          <cell r="C177" t="str">
            <v>Black Glutinous Rice 黑糯米</v>
          </cell>
          <cell r="E177" t="str">
            <v>IN</v>
          </cell>
          <cell r="F177" t="str">
            <v>1 KG</v>
          </cell>
          <cell r="G177" t="str">
            <v>Bag</v>
          </cell>
          <cell r="H177">
            <v>2.48</v>
          </cell>
          <cell r="AJ177">
            <v>4</v>
          </cell>
          <cell r="DA177">
            <v>2.4</v>
          </cell>
        </row>
        <row r="178">
          <cell r="B178" t="str">
            <v>P3013C</v>
          </cell>
          <cell r="C178" t="str">
            <v>Black Glutinous Rice 黑糯米</v>
          </cell>
          <cell r="E178" t="str">
            <v>IN</v>
          </cell>
          <cell r="F178" t="str">
            <v>500 GMS</v>
          </cell>
          <cell r="G178" t="str">
            <v>Bag</v>
          </cell>
          <cell r="H178">
            <v>1.24</v>
          </cell>
          <cell r="BO178">
            <v>1.9</v>
          </cell>
          <cell r="DA178">
            <v>1.2</v>
          </cell>
        </row>
        <row r="179">
          <cell r="B179" t="str">
            <v>P3014</v>
          </cell>
          <cell r="C179" t="str">
            <v>White Glutinous Rice白糯米</v>
          </cell>
          <cell r="E179" t="str">
            <v>Vietnam</v>
          </cell>
          <cell r="F179" t="str">
            <v>25 kgs/Bag</v>
          </cell>
          <cell r="G179" t="str">
            <v>Bag</v>
          </cell>
          <cell r="H179">
            <v>32</v>
          </cell>
          <cell r="K179">
            <v>46</v>
          </cell>
          <cell r="L179">
            <v>0</v>
          </cell>
          <cell r="DA179">
            <v>30</v>
          </cell>
        </row>
        <row r="180">
          <cell r="B180" t="str">
            <v>P3014A</v>
          </cell>
          <cell r="C180" t="str">
            <v>White Glutinous Rice白糯米</v>
          </cell>
          <cell r="D180" t="str">
            <v>Vietnam</v>
          </cell>
          <cell r="E180" t="str">
            <v>-</v>
          </cell>
          <cell r="F180" t="str">
            <v>5 kgs</v>
          </cell>
          <cell r="G180" t="str">
            <v>Bag</v>
          </cell>
          <cell r="H180">
            <v>6.4</v>
          </cell>
          <cell r="I180">
            <v>11</v>
          </cell>
          <cell r="J180">
            <v>10</v>
          </cell>
          <cell r="N180">
            <v>10</v>
          </cell>
          <cell r="O180">
            <v>10</v>
          </cell>
          <cell r="P180">
            <v>10</v>
          </cell>
          <cell r="Q180">
            <v>10</v>
          </cell>
          <cell r="R180">
            <v>11</v>
          </cell>
          <cell r="S180">
            <v>10</v>
          </cell>
          <cell r="V180">
            <v>10</v>
          </cell>
          <cell r="AC180">
            <v>10</v>
          </cell>
          <cell r="AG180">
            <v>11</v>
          </cell>
          <cell r="AP180">
            <v>10</v>
          </cell>
          <cell r="AQ180">
            <v>10</v>
          </cell>
          <cell r="AR180">
            <v>10</v>
          </cell>
          <cell r="AT180">
            <v>10</v>
          </cell>
          <cell r="AU180">
            <v>10</v>
          </cell>
          <cell r="AV180">
            <v>10</v>
          </cell>
          <cell r="AW180">
            <v>10</v>
          </cell>
          <cell r="AX180">
            <v>10</v>
          </cell>
          <cell r="AY180">
            <v>10</v>
          </cell>
          <cell r="AZ180">
            <v>10</v>
          </cell>
          <cell r="BA180">
            <v>10</v>
          </cell>
          <cell r="BC180">
            <v>10</v>
          </cell>
          <cell r="BZ180">
            <v>11</v>
          </cell>
          <cell r="DA180">
            <v>6</v>
          </cell>
        </row>
        <row r="181">
          <cell r="B181" t="str">
            <v>P3014B</v>
          </cell>
          <cell r="C181" t="str">
            <v>White Glutinous Rice白糯米</v>
          </cell>
          <cell r="E181" t="str">
            <v>-</v>
          </cell>
          <cell r="F181" t="str">
            <v>1 kg</v>
          </cell>
          <cell r="G181" t="str">
            <v>Bag</v>
          </cell>
          <cell r="H181">
            <v>1.28</v>
          </cell>
          <cell r="Q181">
            <v>2.2999999999999998</v>
          </cell>
          <cell r="DA181">
            <v>1.2</v>
          </cell>
        </row>
        <row r="182">
          <cell r="B182" t="str">
            <v>P3014C</v>
          </cell>
          <cell r="C182" t="str">
            <v>White Glutinous Rice白糯米</v>
          </cell>
          <cell r="E182" t="str">
            <v>-</v>
          </cell>
          <cell r="F182" t="str">
            <v>500 GM</v>
          </cell>
          <cell r="G182" t="str">
            <v>Bag</v>
          </cell>
          <cell r="H182">
            <v>0.64</v>
          </cell>
          <cell r="BO182">
            <v>1.2</v>
          </cell>
          <cell r="DA182">
            <v>0.6</v>
          </cell>
        </row>
        <row r="183">
          <cell r="B183" t="str">
            <v>P3015</v>
          </cell>
          <cell r="C183" t="str">
            <v>White Wheat 大麦</v>
          </cell>
          <cell r="D183" t="str">
            <v>Malaysia</v>
          </cell>
          <cell r="E183" t="str">
            <v>-</v>
          </cell>
          <cell r="F183" t="str">
            <v>10PKT/BAG</v>
          </cell>
          <cell r="G183" t="str">
            <v>PKT</v>
          </cell>
          <cell r="H183">
            <v>6.5</v>
          </cell>
          <cell r="I183">
            <v>8.5</v>
          </cell>
          <cell r="J183">
            <v>9.5</v>
          </cell>
          <cell r="L183">
            <v>10.5</v>
          </cell>
          <cell r="N183">
            <v>10.5</v>
          </cell>
          <cell r="O183">
            <v>10.5</v>
          </cell>
          <cell r="P183">
            <v>10.5</v>
          </cell>
          <cell r="Q183">
            <v>10.5</v>
          </cell>
          <cell r="R183">
            <v>10.5</v>
          </cell>
          <cell r="S183">
            <v>11</v>
          </cell>
          <cell r="AG183">
            <v>10.5</v>
          </cell>
          <cell r="AO183">
            <v>9.5</v>
          </cell>
          <cell r="AP183">
            <v>9.5</v>
          </cell>
          <cell r="AQ183">
            <v>9.5</v>
          </cell>
          <cell r="AR183">
            <v>9.5</v>
          </cell>
          <cell r="AT183">
            <v>9.5</v>
          </cell>
          <cell r="AU183">
            <v>9.5</v>
          </cell>
          <cell r="AV183">
            <v>9.5</v>
          </cell>
          <cell r="AW183">
            <v>9.5</v>
          </cell>
          <cell r="AX183">
            <v>9.5</v>
          </cell>
          <cell r="AY183">
            <v>9.5</v>
          </cell>
          <cell r="AZ183">
            <v>9.5</v>
          </cell>
          <cell r="BA183">
            <v>9.5</v>
          </cell>
          <cell r="BC183">
            <v>9.5</v>
          </cell>
          <cell r="BK183">
            <v>11</v>
          </cell>
          <cell r="BO183">
            <v>8.5</v>
          </cell>
          <cell r="BX183">
            <v>9.5</v>
          </cell>
          <cell r="BZ183">
            <v>10.5</v>
          </cell>
          <cell r="DA183">
            <v>7.5</v>
          </cell>
        </row>
        <row r="184">
          <cell r="B184" t="str">
            <v>P3016</v>
          </cell>
          <cell r="C184" t="str">
            <v>Pearl Barley 薏米</v>
          </cell>
          <cell r="D184" t="str">
            <v>Holland</v>
          </cell>
          <cell r="E184" t="str">
            <v>-</v>
          </cell>
          <cell r="F184" t="str">
            <v>25 KGS</v>
          </cell>
          <cell r="G184" t="str">
            <v>Bag</v>
          </cell>
          <cell r="H184">
            <v>24</v>
          </cell>
          <cell r="AC184">
            <v>43</v>
          </cell>
          <cell r="DA184">
            <v>34</v>
          </cell>
        </row>
        <row r="185">
          <cell r="B185" t="str">
            <v>P3016A</v>
          </cell>
          <cell r="C185" t="str">
            <v>Pearl Barley 薏米</v>
          </cell>
          <cell r="D185" t="str">
            <v>Holland</v>
          </cell>
          <cell r="E185" t="str">
            <v>-</v>
          </cell>
          <cell r="F185" t="str">
            <v>5 kgs</v>
          </cell>
          <cell r="G185" t="str">
            <v>Bag</v>
          </cell>
          <cell r="H185">
            <v>4.8</v>
          </cell>
          <cell r="I185">
            <v>8.5</v>
          </cell>
          <cell r="J185">
            <v>10</v>
          </cell>
          <cell r="L185">
            <v>8.5</v>
          </cell>
          <cell r="N185">
            <v>10</v>
          </cell>
          <cell r="O185">
            <v>10</v>
          </cell>
          <cell r="P185">
            <v>10</v>
          </cell>
          <cell r="Q185">
            <v>10</v>
          </cell>
          <cell r="R185">
            <v>10</v>
          </cell>
          <cell r="S185">
            <v>10.5</v>
          </cell>
          <cell r="V185">
            <v>9</v>
          </cell>
          <cell r="AC185">
            <v>9</v>
          </cell>
          <cell r="AF185">
            <v>10.5</v>
          </cell>
          <cell r="AI185">
            <v>10</v>
          </cell>
          <cell r="AK185">
            <v>10</v>
          </cell>
          <cell r="AL185">
            <v>10</v>
          </cell>
          <cell r="AM185">
            <v>8.5</v>
          </cell>
          <cell r="AO185">
            <v>10</v>
          </cell>
          <cell r="AP185">
            <v>10</v>
          </cell>
          <cell r="AQ185">
            <v>10</v>
          </cell>
          <cell r="AR185">
            <v>10</v>
          </cell>
          <cell r="AT185">
            <v>10</v>
          </cell>
          <cell r="AU185">
            <v>10</v>
          </cell>
          <cell r="AV185">
            <v>10</v>
          </cell>
          <cell r="AW185">
            <v>10</v>
          </cell>
          <cell r="AX185">
            <v>10</v>
          </cell>
          <cell r="AY185">
            <v>10</v>
          </cell>
          <cell r="AZ185">
            <v>10</v>
          </cell>
          <cell r="BA185">
            <v>10</v>
          </cell>
          <cell r="BC185">
            <v>10</v>
          </cell>
          <cell r="BI185">
            <v>8.5</v>
          </cell>
          <cell r="BU185">
            <v>8.5</v>
          </cell>
          <cell r="BX185">
            <v>10</v>
          </cell>
          <cell r="BZ185">
            <v>8.5</v>
          </cell>
          <cell r="DA185">
            <v>6.8000000000000007</v>
          </cell>
        </row>
        <row r="186">
          <cell r="B186" t="str">
            <v>P3016B</v>
          </cell>
          <cell r="C186" t="str">
            <v>Pearl Barley 薏米</v>
          </cell>
          <cell r="E186" t="str">
            <v>Holland</v>
          </cell>
          <cell r="F186" t="str">
            <v>1 kg</v>
          </cell>
          <cell r="G186" t="str">
            <v>Bag</v>
          </cell>
          <cell r="H186">
            <v>0.96</v>
          </cell>
          <cell r="AJ186">
            <v>2.1</v>
          </cell>
          <cell r="AM186">
            <v>2.2000000000000002</v>
          </cell>
          <cell r="DA186">
            <v>1.36</v>
          </cell>
        </row>
        <row r="187">
          <cell r="B187" t="str">
            <v>P3017</v>
          </cell>
          <cell r="C187" t="str">
            <v>Big Sago 大丸</v>
          </cell>
          <cell r="D187" t="str">
            <v>Thailand</v>
          </cell>
          <cell r="E187" t="str">
            <v>-</v>
          </cell>
          <cell r="F187" t="str">
            <v>30 kgs</v>
          </cell>
          <cell r="G187" t="str">
            <v>Bag</v>
          </cell>
          <cell r="H187">
            <v>49</v>
          </cell>
          <cell r="DA187">
            <v>52</v>
          </cell>
        </row>
        <row r="188">
          <cell r="B188" t="str">
            <v>P3017A</v>
          </cell>
          <cell r="C188" t="str">
            <v>Big Sago 大丸</v>
          </cell>
          <cell r="D188" t="str">
            <v>Thailand</v>
          </cell>
          <cell r="E188" t="str">
            <v>-</v>
          </cell>
          <cell r="F188" t="str">
            <v>5 kgs</v>
          </cell>
          <cell r="G188" t="str">
            <v>Bag</v>
          </cell>
          <cell r="H188">
            <v>8.1666666666666661</v>
          </cell>
          <cell r="I188">
            <v>11</v>
          </cell>
          <cell r="J188">
            <v>11</v>
          </cell>
          <cell r="L188">
            <v>11</v>
          </cell>
          <cell r="N188">
            <v>11</v>
          </cell>
          <cell r="O188">
            <v>10</v>
          </cell>
          <cell r="P188">
            <v>11</v>
          </cell>
          <cell r="Q188">
            <v>10.5</v>
          </cell>
          <cell r="R188">
            <v>10.5</v>
          </cell>
          <cell r="S188">
            <v>11</v>
          </cell>
          <cell r="V188">
            <v>10.5</v>
          </cell>
          <cell r="AB188">
            <v>11</v>
          </cell>
          <cell r="AC188">
            <v>10.5</v>
          </cell>
          <cell r="AG188">
            <v>10.5</v>
          </cell>
          <cell r="AM188">
            <v>11</v>
          </cell>
          <cell r="AP188">
            <v>11</v>
          </cell>
          <cell r="AQ188">
            <v>11</v>
          </cell>
          <cell r="AR188">
            <v>11</v>
          </cell>
          <cell r="AT188">
            <v>11</v>
          </cell>
          <cell r="AU188">
            <v>11</v>
          </cell>
          <cell r="AV188">
            <v>11</v>
          </cell>
          <cell r="AW188">
            <v>11</v>
          </cell>
          <cell r="AX188">
            <v>11</v>
          </cell>
          <cell r="AY188">
            <v>11</v>
          </cell>
          <cell r="AZ188">
            <v>11</v>
          </cell>
          <cell r="BA188">
            <v>11</v>
          </cell>
          <cell r="BC188">
            <v>11</v>
          </cell>
          <cell r="BU188">
            <v>10.5</v>
          </cell>
          <cell r="BZ188">
            <v>11</v>
          </cell>
          <cell r="DA188">
            <v>8.6666666666666679</v>
          </cell>
        </row>
        <row r="189">
          <cell r="B189" t="str">
            <v>P3017B</v>
          </cell>
          <cell r="C189" t="str">
            <v>Big Sago 大丸</v>
          </cell>
          <cell r="E189" t="str">
            <v>-</v>
          </cell>
          <cell r="F189" t="str">
            <v>1 kg</v>
          </cell>
          <cell r="G189" t="str">
            <v>Bag</v>
          </cell>
          <cell r="H189">
            <v>1.6333333333333333</v>
          </cell>
          <cell r="AF189">
            <v>10.5</v>
          </cell>
          <cell r="AM189">
            <v>2.2999999999999998</v>
          </cell>
          <cell r="DA189">
            <v>1.7333333333333334</v>
          </cell>
        </row>
        <row r="190">
          <cell r="B190" t="str">
            <v>P3017C</v>
          </cell>
          <cell r="C190" t="str">
            <v>Big Sago 大丸</v>
          </cell>
          <cell r="E190" t="str">
            <v>-</v>
          </cell>
          <cell r="F190" t="str">
            <v>2.5 kgs</v>
          </cell>
          <cell r="G190" t="str">
            <v>Bag</v>
          </cell>
          <cell r="H190">
            <v>4.083333333333333</v>
          </cell>
          <cell r="DA190">
            <v>4.3333333333333339</v>
          </cell>
        </row>
        <row r="191">
          <cell r="B191" t="str">
            <v>P3018</v>
          </cell>
          <cell r="C191" t="str">
            <v>Small Sago 小丸</v>
          </cell>
          <cell r="D191" t="str">
            <v>Thailand</v>
          </cell>
          <cell r="E191" t="str">
            <v>-</v>
          </cell>
          <cell r="F191" t="str">
            <v>30 kgs</v>
          </cell>
          <cell r="G191" t="str">
            <v>Bag</v>
          </cell>
          <cell r="H191">
            <v>42</v>
          </cell>
          <cell r="DA191">
            <v>32</v>
          </cell>
        </row>
        <row r="192">
          <cell r="B192" t="str">
            <v>P3018A</v>
          </cell>
          <cell r="C192" t="str">
            <v>Small Sago 小丸</v>
          </cell>
          <cell r="D192" t="str">
            <v>Thailand</v>
          </cell>
          <cell r="E192" t="str">
            <v>-</v>
          </cell>
          <cell r="F192" t="str">
            <v>5 kgs</v>
          </cell>
          <cell r="G192" t="str">
            <v>Bag</v>
          </cell>
          <cell r="H192">
            <v>7</v>
          </cell>
          <cell r="I192">
            <v>10</v>
          </cell>
          <cell r="J192">
            <v>10</v>
          </cell>
          <cell r="L192">
            <v>10.8</v>
          </cell>
          <cell r="N192">
            <v>10.5</v>
          </cell>
          <cell r="O192">
            <v>10.5</v>
          </cell>
          <cell r="P192">
            <v>10.5</v>
          </cell>
          <cell r="Q192">
            <v>10.5</v>
          </cell>
          <cell r="R192">
            <v>10.5</v>
          </cell>
          <cell r="S192">
            <v>11</v>
          </cell>
          <cell r="V192">
            <v>10.5</v>
          </cell>
          <cell r="AC192">
            <v>10.5</v>
          </cell>
          <cell r="AF192">
            <v>10.5</v>
          </cell>
          <cell r="AG192">
            <v>10.5</v>
          </cell>
          <cell r="AM192">
            <v>10.5</v>
          </cell>
          <cell r="AO192">
            <v>10</v>
          </cell>
          <cell r="AP192">
            <v>10</v>
          </cell>
          <cell r="AQ192">
            <v>10</v>
          </cell>
          <cell r="AR192">
            <v>10</v>
          </cell>
          <cell r="AT192">
            <v>10</v>
          </cell>
          <cell r="AU192">
            <v>10</v>
          </cell>
          <cell r="AV192">
            <v>10</v>
          </cell>
          <cell r="AW192">
            <v>10</v>
          </cell>
          <cell r="AX192">
            <v>10</v>
          </cell>
          <cell r="AY192">
            <v>10</v>
          </cell>
          <cell r="AZ192">
            <v>10</v>
          </cell>
          <cell r="BA192">
            <v>10</v>
          </cell>
          <cell r="BC192">
            <v>10</v>
          </cell>
          <cell r="BU192">
            <v>10.8</v>
          </cell>
          <cell r="BX192">
            <v>10</v>
          </cell>
          <cell r="BZ192">
            <v>10.5</v>
          </cell>
          <cell r="DA192">
            <v>8</v>
          </cell>
        </row>
        <row r="193">
          <cell r="B193" t="str">
            <v>P3018B</v>
          </cell>
          <cell r="C193" t="str">
            <v>Small Sago 小丸</v>
          </cell>
          <cell r="E193" t="str">
            <v>-</v>
          </cell>
          <cell r="F193" t="str">
            <v>1 kg</v>
          </cell>
          <cell r="G193" t="str">
            <v>Bag</v>
          </cell>
          <cell r="H193">
            <v>1.4</v>
          </cell>
          <cell r="I193">
            <v>2.2000000000000002</v>
          </cell>
          <cell r="Q193">
            <v>2.2000000000000002</v>
          </cell>
          <cell r="AF193">
            <v>2.2000000000000002</v>
          </cell>
          <cell r="AJ193">
            <v>2.2000000000000002</v>
          </cell>
          <cell r="AM193">
            <v>2.2000000000000002</v>
          </cell>
          <cell r="BY193">
            <v>2.1</v>
          </cell>
          <cell r="DA193">
            <v>1.6</v>
          </cell>
        </row>
        <row r="194">
          <cell r="B194" t="str">
            <v>P3019</v>
          </cell>
          <cell r="C194" t="str">
            <v>Dried Longan 龙眼干</v>
          </cell>
          <cell r="D194" t="str">
            <v>Thailand</v>
          </cell>
          <cell r="E194" t="str">
            <v>AAA</v>
          </cell>
          <cell r="F194" t="str">
            <v>15 KGS</v>
          </cell>
          <cell r="G194" t="str">
            <v>CTN</v>
          </cell>
          <cell r="H194">
            <v>124.50000000000001</v>
          </cell>
          <cell r="AC194">
            <v>160</v>
          </cell>
          <cell r="DA194">
            <v>127.5</v>
          </cell>
        </row>
        <row r="195">
          <cell r="B195" t="str">
            <v>P3019A</v>
          </cell>
          <cell r="C195" t="str">
            <v>Dried Longan 龙眼干</v>
          </cell>
          <cell r="D195" t="str">
            <v>Thailand</v>
          </cell>
          <cell r="E195" t="str">
            <v>TL</v>
          </cell>
          <cell r="F195" t="str">
            <v>1 kg</v>
          </cell>
          <cell r="G195" t="str">
            <v>Bag</v>
          </cell>
          <cell r="H195">
            <v>8.3000000000000007</v>
          </cell>
          <cell r="I195">
            <v>12</v>
          </cell>
          <cell r="J195">
            <v>12</v>
          </cell>
          <cell r="L195">
            <v>12</v>
          </cell>
          <cell r="N195">
            <v>12</v>
          </cell>
          <cell r="O195">
            <v>12</v>
          </cell>
          <cell r="P195">
            <v>12</v>
          </cell>
          <cell r="Q195">
            <v>13</v>
          </cell>
          <cell r="S195">
            <v>13</v>
          </cell>
          <cell r="V195">
            <v>12</v>
          </cell>
          <cell r="AB195">
            <v>12</v>
          </cell>
          <cell r="AF195">
            <v>13</v>
          </cell>
          <cell r="AK195">
            <v>12</v>
          </cell>
          <cell r="AM195">
            <v>12</v>
          </cell>
          <cell r="AP195">
            <v>12</v>
          </cell>
          <cell r="AQ195">
            <v>0</v>
          </cell>
          <cell r="AR195">
            <v>12</v>
          </cell>
          <cell r="BK195">
            <v>13</v>
          </cell>
          <cell r="BU195">
            <v>12</v>
          </cell>
          <cell r="BZ195">
            <v>0</v>
          </cell>
          <cell r="DA195">
            <v>8.5</v>
          </cell>
        </row>
        <row r="196">
          <cell r="B196" t="str">
            <v>P3020</v>
          </cell>
          <cell r="C196" t="str">
            <v>Dried Longan 龙眼干</v>
          </cell>
          <cell r="E196" t="str">
            <v>中</v>
          </cell>
          <cell r="F196" t="str">
            <v>10 KGS</v>
          </cell>
          <cell r="G196" t="str">
            <v>CTN</v>
          </cell>
          <cell r="H196">
            <v>85</v>
          </cell>
          <cell r="R196">
            <v>120</v>
          </cell>
          <cell r="DA196">
            <v>92</v>
          </cell>
        </row>
        <row r="197">
          <cell r="B197" t="str">
            <v>P3020A</v>
          </cell>
          <cell r="C197" t="str">
            <v>Dried Longan 龙眼干</v>
          </cell>
          <cell r="D197" t="str">
            <v>China</v>
          </cell>
          <cell r="E197" t="str">
            <v>中</v>
          </cell>
          <cell r="F197" t="str">
            <v>1 kg</v>
          </cell>
          <cell r="G197" t="str">
            <v>Bag</v>
          </cell>
          <cell r="H197">
            <v>8</v>
          </cell>
          <cell r="J197">
            <v>12</v>
          </cell>
          <cell r="L197">
            <v>12</v>
          </cell>
          <cell r="AF197">
            <v>13</v>
          </cell>
          <cell r="AO197">
            <v>12</v>
          </cell>
          <cell r="AQ197">
            <v>12</v>
          </cell>
          <cell r="AT197">
            <v>12</v>
          </cell>
          <cell r="AU197">
            <v>12</v>
          </cell>
          <cell r="AV197">
            <v>12</v>
          </cell>
          <cell r="AW197">
            <v>12</v>
          </cell>
          <cell r="AX197">
            <v>12</v>
          </cell>
          <cell r="AY197">
            <v>12</v>
          </cell>
          <cell r="AZ197">
            <v>12</v>
          </cell>
          <cell r="BA197">
            <v>12</v>
          </cell>
          <cell r="BC197">
            <v>12</v>
          </cell>
          <cell r="BO197">
            <v>13</v>
          </cell>
          <cell r="BX197">
            <v>12</v>
          </cell>
          <cell r="BZ197">
            <v>13.5</v>
          </cell>
          <cell r="DA197">
            <v>9.1999999999999993</v>
          </cell>
        </row>
        <row r="198">
          <cell r="B198" t="str">
            <v>P3021</v>
          </cell>
          <cell r="C198" t="str">
            <v>Fungus 黄木耳</v>
          </cell>
          <cell r="D198" t="str">
            <v>China</v>
          </cell>
          <cell r="E198" t="str">
            <v>黄</v>
          </cell>
          <cell r="F198" t="str">
            <v>1 kg</v>
          </cell>
          <cell r="G198" t="str">
            <v>Bag</v>
          </cell>
          <cell r="H198">
            <v>11.5</v>
          </cell>
          <cell r="J198">
            <v>16</v>
          </cell>
          <cell r="L198">
            <v>17</v>
          </cell>
          <cell r="M198">
            <v>16</v>
          </cell>
          <cell r="N198">
            <v>16</v>
          </cell>
          <cell r="O198">
            <v>17</v>
          </cell>
          <cell r="P198">
            <v>16</v>
          </cell>
          <cell r="Q198">
            <v>16</v>
          </cell>
          <cell r="R198">
            <v>16</v>
          </cell>
          <cell r="S198">
            <v>17</v>
          </cell>
          <cell r="V198">
            <v>17</v>
          </cell>
          <cell r="AB198">
            <v>16</v>
          </cell>
          <cell r="BK198">
            <v>18</v>
          </cell>
          <cell r="BU198">
            <v>16</v>
          </cell>
          <cell r="BX198">
            <v>16</v>
          </cell>
          <cell r="DA198">
            <v>11.5</v>
          </cell>
        </row>
        <row r="199">
          <cell r="B199" t="str">
            <v>P3022</v>
          </cell>
          <cell r="G199" t="str">
            <v>Bag</v>
          </cell>
          <cell r="H199">
            <v>0</v>
          </cell>
          <cell r="N199">
            <v>0</v>
          </cell>
          <cell r="AM199">
            <v>16</v>
          </cell>
          <cell r="DA199">
            <v>0</v>
          </cell>
        </row>
        <row r="200">
          <cell r="B200" t="str">
            <v>P3023</v>
          </cell>
          <cell r="C200" t="str">
            <v>Fungus黄 木耳朵</v>
          </cell>
          <cell r="D200" t="str">
            <v>China</v>
          </cell>
          <cell r="E200" t="str">
            <v>黄</v>
          </cell>
          <cell r="F200" t="str">
            <v>1 kg</v>
          </cell>
          <cell r="G200" t="str">
            <v>Bag</v>
          </cell>
          <cell r="H200">
            <v>11</v>
          </cell>
          <cell r="I200">
            <v>16</v>
          </cell>
          <cell r="J200">
            <v>16</v>
          </cell>
          <cell r="M200">
            <v>16</v>
          </cell>
          <cell r="AP200">
            <v>16</v>
          </cell>
          <cell r="AQ200">
            <v>16</v>
          </cell>
          <cell r="AR200">
            <v>16</v>
          </cell>
          <cell r="AT200">
            <v>16</v>
          </cell>
          <cell r="AU200">
            <v>16</v>
          </cell>
          <cell r="AV200">
            <v>16</v>
          </cell>
          <cell r="AW200">
            <v>16</v>
          </cell>
          <cell r="AX200">
            <v>16</v>
          </cell>
          <cell r="AY200">
            <v>16</v>
          </cell>
          <cell r="AZ200">
            <v>16</v>
          </cell>
          <cell r="BA200">
            <v>16</v>
          </cell>
          <cell r="BC200">
            <v>16</v>
          </cell>
          <cell r="BX200">
            <v>16</v>
          </cell>
          <cell r="BZ200">
            <v>17</v>
          </cell>
          <cell r="DA200">
            <v>11</v>
          </cell>
        </row>
        <row r="201">
          <cell r="B201" t="str">
            <v>P3024</v>
          </cell>
          <cell r="C201" t="str">
            <v>Lotus Seed 莲子(无）</v>
          </cell>
          <cell r="D201" t="str">
            <v>China</v>
          </cell>
          <cell r="E201" t="str">
            <v>中</v>
          </cell>
          <cell r="F201" t="str">
            <v>1 kg</v>
          </cell>
          <cell r="G201" t="str">
            <v>Bag</v>
          </cell>
          <cell r="H201">
            <v>18.5</v>
          </cell>
          <cell r="I201">
            <v>23</v>
          </cell>
          <cell r="J201">
            <v>22</v>
          </cell>
          <cell r="P201">
            <v>23</v>
          </cell>
          <cell r="Q201">
            <v>22</v>
          </cell>
          <cell r="R201">
            <v>23</v>
          </cell>
          <cell r="AC201">
            <v>23</v>
          </cell>
          <cell r="AP201">
            <v>22</v>
          </cell>
          <cell r="AQ201">
            <v>22</v>
          </cell>
          <cell r="AR201">
            <v>22</v>
          </cell>
          <cell r="AT201">
            <v>22</v>
          </cell>
          <cell r="AU201">
            <v>22</v>
          </cell>
          <cell r="AV201">
            <v>22</v>
          </cell>
          <cell r="AW201">
            <v>22</v>
          </cell>
          <cell r="AX201">
            <v>22</v>
          </cell>
          <cell r="AY201">
            <v>22</v>
          </cell>
          <cell r="AZ201">
            <v>22</v>
          </cell>
          <cell r="BA201">
            <v>22</v>
          </cell>
          <cell r="BC201">
            <v>22</v>
          </cell>
          <cell r="BZ201">
            <v>24</v>
          </cell>
          <cell r="DA201">
            <v>18.5</v>
          </cell>
        </row>
        <row r="202">
          <cell r="B202" t="str">
            <v>P3024A</v>
          </cell>
          <cell r="C202" t="str">
            <v>Lotus Seed 莲子(无）</v>
          </cell>
          <cell r="E202" t="str">
            <v>中</v>
          </cell>
          <cell r="F202" t="str">
            <v>100 GMS</v>
          </cell>
          <cell r="H202">
            <v>1.8499999999999999</v>
          </cell>
          <cell r="BO202">
            <v>2.7</v>
          </cell>
          <cell r="DA202">
            <v>1.85</v>
          </cell>
        </row>
        <row r="203">
          <cell r="B203" t="str">
            <v>P3025</v>
          </cell>
          <cell r="C203" t="str">
            <v>Red Date 红枣 (Seedless)</v>
          </cell>
          <cell r="D203" t="str">
            <v>China</v>
          </cell>
          <cell r="E203" t="str">
            <v>-</v>
          </cell>
          <cell r="F203" t="str">
            <v>1 kg</v>
          </cell>
          <cell r="G203" t="str">
            <v>Bag</v>
          </cell>
          <cell r="H203">
            <v>4.3</v>
          </cell>
          <cell r="I203">
            <v>5.5</v>
          </cell>
          <cell r="J203">
            <v>5</v>
          </cell>
          <cell r="P203">
            <v>5.3</v>
          </cell>
          <cell r="Q203">
            <v>5.5</v>
          </cell>
          <cell r="S203">
            <v>6</v>
          </cell>
          <cell r="V203">
            <v>6</v>
          </cell>
          <cell r="AM203">
            <v>5.5</v>
          </cell>
          <cell r="AO203">
            <v>5</v>
          </cell>
          <cell r="AP203">
            <v>5</v>
          </cell>
          <cell r="AQ203">
            <v>5</v>
          </cell>
          <cell r="AR203">
            <v>5</v>
          </cell>
          <cell r="AT203">
            <v>5</v>
          </cell>
          <cell r="AU203">
            <v>5</v>
          </cell>
          <cell r="AV203">
            <v>5</v>
          </cell>
          <cell r="AW203">
            <v>5</v>
          </cell>
          <cell r="AX203">
            <v>5</v>
          </cell>
          <cell r="AY203">
            <v>5</v>
          </cell>
          <cell r="AZ203">
            <v>5</v>
          </cell>
          <cell r="BA203">
            <v>5</v>
          </cell>
          <cell r="BC203">
            <v>5</v>
          </cell>
          <cell r="BU203">
            <v>5.5</v>
          </cell>
          <cell r="BX203">
            <v>5</v>
          </cell>
          <cell r="BZ203">
            <v>0</v>
          </cell>
          <cell r="DA203">
            <v>4.3</v>
          </cell>
        </row>
        <row r="204">
          <cell r="B204" t="str">
            <v>P3025A</v>
          </cell>
          <cell r="C204" t="str">
            <v>Red Date 红枣</v>
          </cell>
          <cell r="E204" t="str">
            <v>-</v>
          </cell>
          <cell r="F204" t="str">
            <v>2.5 kgs</v>
          </cell>
          <cell r="G204" t="str">
            <v>Bag</v>
          </cell>
          <cell r="H204">
            <v>9.5</v>
          </cell>
          <cell r="BZ204">
            <v>12</v>
          </cell>
          <cell r="DA204">
            <v>9.5</v>
          </cell>
        </row>
        <row r="205">
          <cell r="B205" t="str">
            <v>P3025B</v>
          </cell>
          <cell r="C205" t="str">
            <v>Red Date 红枣</v>
          </cell>
          <cell r="E205" t="str">
            <v>-</v>
          </cell>
          <cell r="F205" t="str">
            <v>1KGS</v>
          </cell>
          <cell r="G205" t="str">
            <v>Bag</v>
          </cell>
          <cell r="H205">
            <v>4.3</v>
          </cell>
        </row>
        <row r="206">
          <cell r="B206" t="str">
            <v>P3026</v>
          </cell>
          <cell r="C206" t="str">
            <v>Dried Persimmon 柿子</v>
          </cell>
          <cell r="D206" t="str">
            <v>China</v>
          </cell>
          <cell r="E206" t="str">
            <v>AA</v>
          </cell>
          <cell r="F206" t="str">
            <v>1KGS</v>
          </cell>
          <cell r="G206" t="str">
            <v>gm</v>
          </cell>
          <cell r="H206">
            <v>6.5</v>
          </cell>
          <cell r="I206">
            <v>6.5</v>
          </cell>
          <cell r="J206">
            <v>6.5</v>
          </cell>
          <cell r="S206">
            <v>9</v>
          </cell>
          <cell r="V206">
            <v>9</v>
          </cell>
          <cell r="AP206">
            <v>6.5</v>
          </cell>
          <cell r="AQ206">
            <v>6.5</v>
          </cell>
          <cell r="AR206">
            <v>6.5</v>
          </cell>
          <cell r="AT206">
            <v>6.5</v>
          </cell>
          <cell r="AU206">
            <v>6.5</v>
          </cell>
          <cell r="AV206">
            <v>6.5</v>
          </cell>
          <cell r="AW206">
            <v>6.5</v>
          </cell>
          <cell r="AX206">
            <v>6.5</v>
          </cell>
          <cell r="AY206">
            <v>6.5</v>
          </cell>
          <cell r="AZ206">
            <v>6.5</v>
          </cell>
          <cell r="BA206">
            <v>6.5</v>
          </cell>
          <cell r="BC206">
            <v>6.5</v>
          </cell>
          <cell r="DA206">
            <v>4.8</v>
          </cell>
        </row>
        <row r="207">
          <cell r="B207" t="str">
            <v>P3027</v>
          </cell>
          <cell r="C207" t="str">
            <v>GingKo Nut白果粒</v>
          </cell>
          <cell r="E207" t="str">
            <v>-</v>
          </cell>
          <cell r="F207" t="str">
            <v>5 kgs</v>
          </cell>
          <cell r="G207" t="str">
            <v>Bag</v>
          </cell>
          <cell r="H207">
            <v>11</v>
          </cell>
          <cell r="L207">
            <v>19</v>
          </cell>
          <cell r="M207">
            <v>19</v>
          </cell>
          <cell r="O207">
            <v>19</v>
          </cell>
          <cell r="AC207">
            <v>19</v>
          </cell>
          <cell r="DA207">
            <v>14.5</v>
          </cell>
        </row>
        <row r="208">
          <cell r="B208" t="str">
            <v>P3027A</v>
          </cell>
          <cell r="C208" t="str">
            <v>GingKo Nut白果粒</v>
          </cell>
          <cell r="E208" t="str">
            <v>-</v>
          </cell>
          <cell r="F208" t="str">
            <v>2kgs</v>
          </cell>
          <cell r="G208" t="str">
            <v>Bag</v>
          </cell>
          <cell r="H208">
            <v>4.4000000000000004</v>
          </cell>
          <cell r="DA208">
            <v>5.8</v>
          </cell>
        </row>
        <row r="209">
          <cell r="B209" t="str">
            <v>P3028</v>
          </cell>
          <cell r="C209" t="str">
            <v>Chrysanthemum 菊花</v>
          </cell>
          <cell r="D209" t="str">
            <v>China</v>
          </cell>
          <cell r="F209" t="str">
            <v>1 KG</v>
          </cell>
          <cell r="G209" t="str">
            <v>PKT</v>
          </cell>
        </row>
        <row r="210">
          <cell r="B210" t="str">
            <v>P3029</v>
          </cell>
          <cell r="C210" t="str">
            <v>Pong Thai Hai (Dry) 碰大海</v>
          </cell>
          <cell r="D210" t="str">
            <v>China</v>
          </cell>
          <cell r="E210" t="str">
            <v>-</v>
          </cell>
          <cell r="F210" t="str">
            <v>1 kg</v>
          </cell>
          <cell r="G210" t="str">
            <v>Bag</v>
          </cell>
          <cell r="H210">
            <v>25</v>
          </cell>
          <cell r="I210">
            <v>25</v>
          </cell>
          <cell r="O210">
            <v>25</v>
          </cell>
          <cell r="R210">
            <v>25</v>
          </cell>
          <cell r="V210">
            <v>25</v>
          </cell>
          <cell r="AC210">
            <v>24</v>
          </cell>
          <cell r="BZ210">
            <v>25</v>
          </cell>
          <cell r="DA210">
            <v>18</v>
          </cell>
        </row>
        <row r="211">
          <cell r="B211" t="str">
            <v>P3030</v>
          </cell>
          <cell r="C211" t="str">
            <v>Bean Curd Sheet 腐竹</v>
          </cell>
          <cell r="D211" t="str">
            <v>China</v>
          </cell>
          <cell r="E211" t="str">
            <v>丰</v>
          </cell>
          <cell r="F211" t="str">
            <v>150g X 60PKTS</v>
          </cell>
          <cell r="G211" t="str">
            <v>CTN</v>
          </cell>
          <cell r="H211">
            <v>112</v>
          </cell>
          <cell r="DA211">
            <v>125</v>
          </cell>
        </row>
        <row r="212">
          <cell r="B212" t="str">
            <v>P3030A</v>
          </cell>
          <cell r="C212" t="str">
            <v>Bean Curd Sheet 腐竹</v>
          </cell>
          <cell r="D212" t="str">
            <v>China</v>
          </cell>
          <cell r="E212" t="str">
            <v>丰</v>
          </cell>
          <cell r="F212" t="str">
            <v xml:space="preserve">150g/pkt </v>
          </cell>
          <cell r="G212" t="str">
            <v>Bag</v>
          </cell>
          <cell r="H212">
            <v>1.8666666666666667</v>
          </cell>
          <cell r="J212">
            <v>2.2000000000000002</v>
          </cell>
          <cell r="L212">
            <v>2.6</v>
          </cell>
          <cell r="S212">
            <v>2.6</v>
          </cell>
          <cell r="AO212">
            <v>2.2000000000000002</v>
          </cell>
          <cell r="AP212">
            <v>2.2000000000000002</v>
          </cell>
          <cell r="AQ212">
            <v>2.2000000000000002</v>
          </cell>
          <cell r="AR212">
            <v>2.2000000000000002</v>
          </cell>
          <cell r="AS212">
            <v>2.2000000000000002</v>
          </cell>
          <cell r="AT212">
            <v>2.2000000000000002</v>
          </cell>
          <cell r="AU212">
            <v>2.2000000000000002</v>
          </cell>
          <cell r="AV212">
            <v>2.2000000000000002</v>
          </cell>
          <cell r="AW212">
            <v>2.2000000000000002</v>
          </cell>
          <cell r="AX212">
            <v>2.2000000000000002</v>
          </cell>
          <cell r="AY212">
            <v>2.2000000000000002</v>
          </cell>
          <cell r="AZ212">
            <v>2.2000000000000002</v>
          </cell>
          <cell r="BA212">
            <v>2.2000000000000002</v>
          </cell>
          <cell r="BB212">
            <v>2.2000000000000002</v>
          </cell>
          <cell r="BC212">
            <v>2.2000000000000002</v>
          </cell>
          <cell r="BX212">
            <v>2.2000000000000002</v>
          </cell>
          <cell r="DA212">
            <v>2.0833333333333335</v>
          </cell>
        </row>
        <row r="213">
          <cell r="B213" t="str">
            <v>P3030B</v>
          </cell>
          <cell r="C213" t="str">
            <v>Bean Curd Sheet 腐竹</v>
          </cell>
          <cell r="F213" t="str">
            <v xml:space="preserve">170g/pkt </v>
          </cell>
          <cell r="G213" t="str">
            <v>PKT</v>
          </cell>
          <cell r="K213">
            <v>2.5</v>
          </cell>
          <cell r="DA213">
            <v>2.0833333333333335</v>
          </cell>
        </row>
        <row r="214">
          <cell r="B214" t="str">
            <v>P3031</v>
          </cell>
          <cell r="C214" t="str">
            <v>Bean Curd Sheet 腐竹</v>
          </cell>
          <cell r="E214" t="str">
            <v>生记</v>
          </cell>
          <cell r="F214" t="str">
            <v>150g/pkt X 40 PKTS</v>
          </cell>
          <cell r="G214" t="str">
            <v>Bag</v>
          </cell>
          <cell r="DA214">
            <v>100</v>
          </cell>
        </row>
        <row r="215">
          <cell r="B215" t="str">
            <v>P3031A</v>
          </cell>
          <cell r="C215" t="str">
            <v>Bean Curd Sheet 腐竹</v>
          </cell>
          <cell r="E215" t="str">
            <v>生记</v>
          </cell>
          <cell r="F215" t="str">
            <v xml:space="preserve">150g/pkt </v>
          </cell>
          <cell r="G215" t="str">
            <v>Bag</v>
          </cell>
          <cell r="H215">
            <v>2.8</v>
          </cell>
          <cell r="K215">
            <v>3.1</v>
          </cell>
          <cell r="N215">
            <v>3.1</v>
          </cell>
          <cell r="O215">
            <v>3.1</v>
          </cell>
          <cell r="P215">
            <v>3.1</v>
          </cell>
          <cell r="R215">
            <v>3.1</v>
          </cell>
          <cell r="AC215">
            <v>3.1</v>
          </cell>
          <cell r="AF215">
            <v>3.1</v>
          </cell>
          <cell r="AJ215">
            <v>3.1</v>
          </cell>
          <cell r="BZ215">
            <v>3.1</v>
          </cell>
          <cell r="DA215">
            <v>2.5</v>
          </cell>
        </row>
        <row r="216">
          <cell r="B216" t="str">
            <v>P3032</v>
          </cell>
          <cell r="C216" t="str">
            <v>Sweeten Melon Strip冬瓜条</v>
          </cell>
          <cell r="D216" t="str">
            <v>Malaysia</v>
          </cell>
          <cell r="E216" t="str">
            <v>Rabbit Brand</v>
          </cell>
          <cell r="F216" t="str">
            <v>3KGS X 10 PKTS</v>
          </cell>
          <cell r="G216" t="str">
            <v>CTN</v>
          </cell>
          <cell r="DA216">
            <v>140</v>
          </cell>
        </row>
        <row r="217">
          <cell r="B217" t="str">
            <v>P3032A</v>
          </cell>
          <cell r="C217" t="str">
            <v>Sweeten Melon Strip冬瓜条</v>
          </cell>
          <cell r="D217" t="str">
            <v>Malaysia</v>
          </cell>
          <cell r="E217" t="str">
            <v>Rabbit Brand</v>
          </cell>
          <cell r="F217" t="str">
            <v>3KGS/PKT</v>
          </cell>
          <cell r="G217" t="str">
            <v>PKT</v>
          </cell>
          <cell r="H217">
            <v>14.399999999999999</v>
          </cell>
          <cell r="I217">
            <v>18</v>
          </cell>
          <cell r="L217">
            <v>19</v>
          </cell>
          <cell r="O217">
            <v>19</v>
          </cell>
          <cell r="P217">
            <v>19</v>
          </cell>
          <cell r="Q217">
            <v>19</v>
          </cell>
          <cell r="R217">
            <v>19</v>
          </cell>
          <cell r="S217">
            <v>20</v>
          </cell>
          <cell r="V217">
            <v>20</v>
          </cell>
          <cell r="AH217">
            <v>20</v>
          </cell>
          <cell r="AP217">
            <v>13</v>
          </cell>
          <cell r="AQ217">
            <v>13</v>
          </cell>
          <cell r="AR217">
            <v>13</v>
          </cell>
          <cell r="AT217">
            <v>13</v>
          </cell>
          <cell r="AU217">
            <v>13</v>
          </cell>
          <cell r="AV217">
            <v>13</v>
          </cell>
          <cell r="AW217">
            <v>13</v>
          </cell>
          <cell r="AX217">
            <v>13</v>
          </cell>
          <cell r="AY217">
            <v>13</v>
          </cell>
          <cell r="AZ217">
            <v>13</v>
          </cell>
          <cell r="BA217">
            <v>13</v>
          </cell>
          <cell r="BC217">
            <v>13</v>
          </cell>
          <cell r="DA217">
            <v>14</v>
          </cell>
        </row>
        <row r="218">
          <cell r="B218" t="str">
            <v>P3032B</v>
          </cell>
          <cell r="C218" t="str">
            <v>Sweeten Melon  cube 冬瓜</v>
          </cell>
          <cell r="D218" t="str">
            <v>Malaysia</v>
          </cell>
          <cell r="E218" t="str">
            <v>Rabbit Brand</v>
          </cell>
          <cell r="F218" t="str">
            <v>3KGS/PKT</v>
          </cell>
          <cell r="G218" t="str">
            <v>PKT</v>
          </cell>
          <cell r="AC218">
            <v>18</v>
          </cell>
          <cell r="DA218">
            <v>13.5</v>
          </cell>
        </row>
        <row r="219">
          <cell r="B219" t="str">
            <v>P3033</v>
          </cell>
          <cell r="C219" t="str">
            <v>Wolfberry 枸杞子</v>
          </cell>
          <cell r="D219" t="str">
            <v>China</v>
          </cell>
          <cell r="E219" t="str">
            <v>-</v>
          </cell>
          <cell r="F219" t="str">
            <v>500 GM X 2</v>
          </cell>
          <cell r="G219" t="str">
            <v>Pkt</v>
          </cell>
          <cell r="H219">
            <v>16</v>
          </cell>
          <cell r="I219">
            <v>16</v>
          </cell>
          <cell r="J219">
            <v>16</v>
          </cell>
          <cell r="AP219">
            <v>16</v>
          </cell>
          <cell r="AQ219">
            <v>16</v>
          </cell>
          <cell r="AR219">
            <v>16</v>
          </cell>
          <cell r="AT219">
            <v>16</v>
          </cell>
          <cell r="AU219">
            <v>16</v>
          </cell>
          <cell r="AV219">
            <v>16</v>
          </cell>
          <cell r="AW219">
            <v>16</v>
          </cell>
          <cell r="AX219">
            <v>16</v>
          </cell>
          <cell r="AY219">
            <v>16</v>
          </cell>
          <cell r="AZ219">
            <v>16</v>
          </cell>
          <cell r="BA219">
            <v>16</v>
          </cell>
          <cell r="BC219">
            <v>16</v>
          </cell>
          <cell r="DA219">
            <v>12</v>
          </cell>
        </row>
        <row r="220">
          <cell r="B220" t="str">
            <v>P3034</v>
          </cell>
          <cell r="C220" t="str">
            <v>Peanut 花生</v>
          </cell>
          <cell r="F220" t="str">
            <v>12.5KG/PKT X 2</v>
          </cell>
          <cell r="G220" t="str">
            <v>CTN</v>
          </cell>
          <cell r="H220">
            <v>80</v>
          </cell>
          <cell r="L220">
            <v>90</v>
          </cell>
          <cell r="M220">
            <v>90</v>
          </cell>
          <cell r="R220">
            <v>90</v>
          </cell>
          <cell r="DA220">
            <v>72.5</v>
          </cell>
        </row>
        <row r="221">
          <cell r="B221" t="str">
            <v>P3034A</v>
          </cell>
          <cell r="C221" t="str">
            <v>Peanut 花生</v>
          </cell>
          <cell r="D221" t="str">
            <v>China</v>
          </cell>
          <cell r="E221" t="str">
            <v>-</v>
          </cell>
          <cell r="F221" t="str">
            <v>12.5 kgs</v>
          </cell>
          <cell r="G221" t="str">
            <v>Bag</v>
          </cell>
          <cell r="H221">
            <v>40</v>
          </cell>
          <cell r="I221">
            <v>44</v>
          </cell>
          <cell r="L221">
            <v>45</v>
          </cell>
          <cell r="M221">
            <v>45</v>
          </cell>
          <cell r="P221">
            <v>45</v>
          </cell>
          <cell r="R221">
            <v>45</v>
          </cell>
          <cell r="DA221">
            <v>36.25</v>
          </cell>
        </row>
        <row r="222">
          <cell r="B222" t="str">
            <v>P3034B</v>
          </cell>
          <cell r="C222" t="str">
            <v>Peanut 花生</v>
          </cell>
          <cell r="D222" t="str">
            <v>China</v>
          </cell>
          <cell r="F222" t="str">
            <v>1 kg</v>
          </cell>
          <cell r="G222" t="str">
            <v>Bag</v>
          </cell>
          <cell r="H222">
            <v>3.2</v>
          </cell>
          <cell r="R222">
            <v>3.6</v>
          </cell>
          <cell r="DA222">
            <v>2.9</v>
          </cell>
        </row>
        <row r="223">
          <cell r="B223" t="str">
            <v>P3035</v>
          </cell>
          <cell r="C223" t="str">
            <v>Dried Orange Peel 陈皮</v>
          </cell>
          <cell r="D223" t="str">
            <v>China</v>
          </cell>
          <cell r="E223" t="str">
            <v>-</v>
          </cell>
          <cell r="F223" t="str">
            <v>1 kg</v>
          </cell>
          <cell r="G223" t="str">
            <v>Bag</v>
          </cell>
          <cell r="H223">
            <v>6.6</v>
          </cell>
          <cell r="I223">
            <v>6</v>
          </cell>
          <cell r="J223">
            <v>6.5</v>
          </cell>
          <cell r="P223">
            <v>7</v>
          </cell>
          <cell r="V223">
            <v>7</v>
          </cell>
          <cell r="AT223">
            <v>6.5</v>
          </cell>
          <cell r="DA223">
            <v>3.8</v>
          </cell>
        </row>
        <row r="224">
          <cell r="B224" t="str">
            <v>P3035A</v>
          </cell>
          <cell r="C224" t="str">
            <v>Dried Orange Peel 陈皮</v>
          </cell>
          <cell r="D224" t="str">
            <v>China</v>
          </cell>
          <cell r="E224" t="str">
            <v>-</v>
          </cell>
          <cell r="F224" t="str">
            <v>500 GM</v>
          </cell>
          <cell r="DA224">
            <v>1.9</v>
          </cell>
        </row>
        <row r="225">
          <cell r="B225" t="str">
            <v>P3036</v>
          </cell>
          <cell r="C225" t="str">
            <v>Coco Syrup 可可</v>
          </cell>
          <cell r="D225" t="str">
            <v>USA</v>
          </cell>
          <cell r="E225" t="str">
            <v>Hershey's</v>
          </cell>
          <cell r="F225" t="str">
            <v>1 Btl</v>
          </cell>
          <cell r="G225" t="str">
            <v>BTL</v>
          </cell>
          <cell r="H225">
            <v>4</v>
          </cell>
          <cell r="I225">
            <v>0</v>
          </cell>
          <cell r="J225">
            <v>4</v>
          </cell>
          <cell r="O225">
            <v>4</v>
          </cell>
          <cell r="P225">
            <v>4</v>
          </cell>
          <cell r="Q225">
            <v>0</v>
          </cell>
          <cell r="BU225">
            <v>4.5</v>
          </cell>
          <cell r="BZ225">
            <v>4.5</v>
          </cell>
          <cell r="DA225">
            <v>3</v>
          </cell>
        </row>
        <row r="226">
          <cell r="B226" t="str">
            <v>P3037</v>
          </cell>
          <cell r="C226" t="str">
            <v>Honey Pearl - Black 蜜糖珍珠</v>
          </cell>
          <cell r="D226" t="str">
            <v>Taiwan</v>
          </cell>
          <cell r="E226" t="str">
            <v>9 MM</v>
          </cell>
          <cell r="F226" t="str">
            <v>3 kgs</v>
          </cell>
          <cell r="H226">
            <v>7</v>
          </cell>
          <cell r="I226">
            <v>9</v>
          </cell>
          <cell r="Q226">
            <v>9</v>
          </cell>
          <cell r="AE226">
            <v>10</v>
          </cell>
          <cell r="BQ226">
            <v>9</v>
          </cell>
          <cell r="BR226">
            <v>9</v>
          </cell>
          <cell r="BS226">
            <v>9</v>
          </cell>
          <cell r="BU226">
            <v>9.5</v>
          </cell>
          <cell r="DA226">
            <v>7.2</v>
          </cell>
        </row>
        <row r="227">
          <cell r="B227" t="str">
            <v>P3037A</v>
          </cell>
          <cell r="C227" t="str">
            <v>Honey Pearl - Black 蜜糖珍珠</v>
          </cell>
          <cell r="D227" t="str">
            <v>Taiwan</v>
          </cell>
          <cell r="E227" t="str">
            <v>7 MM</v>
          </cell>
          <cell r="F227" t="str">
            <v>3 kgs</v>
          </cell>
          <cell r="BU227">
            <v>9.5</v>
          </cell>
          <cell r="DA227">
            <v>7.2</v>
          </cell>
        </row>
        <row r="228">
          <cell r="B228" t="str">
            <v>P3038</v>
          </cell>
          <cell r="C228" t="str">
            <v>Golden Pearl -黄金 珍珠</v>
          </cell>
          <cell r="D228" t="str">
            <v>Taiwan</v>
          </cell>
          <cell r="F228" t="str">
            <v>3 kgs</v>
          </cell>
          <cell r="I228">
            <v>9.5</v>
          </cell>
          <cell r="BQ228">
            <v>10</v>
          </cell>
          <cell r="DA228">
            <v>7.2</v>
          </cell>
        </row>
        <row r="229">
          <cell r="B229" t="str">
            <v>P3039</v>
          </cell>
          <cell r="C229" t="str">
            <v>Fine Salt  幼盐</v>
          </cell>
          <cell r="D229" t="str">
            <v>Thailand</v>
          </cell>
          <cell r="E229" t="str">
            <v>-</v>
          </cell>
          <cell r="F229" t="str">
            <v>500 gms</v>
          </cell>
          <cell r="G229" t="str">
            <v>Box</v>
          </cell>
          <cell r="H229">
            <v>0.5</v>
          </cell>
          <cell r="I229">
            <v>0.8</v>
          </cell>
          <cell r="P229">
            <v>0.6</v>
          </cell>
          <cell r="S229">
            <v>0.9</v>
          </cell>
          <cell r="BO229">
            <v>0.6</v>
          </cell>
          <cell r="BZ229">
            <v>0.8</v>
          </cell>
          <cell r="DA229">
            <v>0.32395833333333335</v>
          </cell>
        </row>
        <row r="230">
          <cell r="B230" t="str">
            <v>P3040</v>
          </cell>
          <cell r="C230" t="str">
            <v>SALT 盐</v>
          </cell>
          <cell r="D230" t="str">
            <v>Thailand</v>
          </cell>
          <cell r="E230" t="str">
            <v>-</v>
          </cell>
          <cell r="F230" t="str">
            <v>3 kgs</v>
          </cell>
          <cell r="G230" t="str">
            <v>Bag</v>
          </cell>
          <cell r="H230">
            <v>1.04</v>
          </cell>
          <cell r="I230">
            <v>1</v>
          </cell>
          <cell r="J230">
            <v>1.5</v>
          </cell>
          <cell r="R230">
            <v>1.2</v>
          </cell>
          <cell r="S230">
            <v>1.2</v>
          </cell>
          <cell r="BC230">
            <v>1.5</v>
          </cell>
          <cell r="CB230">
            <v>1.1000000000000001</v>
          </cell>
          <cell r="DA230">
            <v>0.86</v>
          </cell>
        </row>
        <row r="231">
          <cell r="B231" t="str">
            <v>P3041</v>
          </cell>
          <cell r="C231" t="str">
            <v>PACKED TOMATO SAUCE</v>
          </cell>
          <cell r="D231" t="str">
            <v>Singapore</v>
          </cell>
          <cell r="E231" t="str">
            <v>-</v>
          </cell>
          <cell r="G231" t="str">
            <v>CTN</v>
          </cell>
          <cell r="DA231">
            <v>33.5</v>
          </cell>
        </row>
        <row r="232">
          <cell r="B232" t="str">
            <v>P3042</v>
          </cell>
          <cell r="C232" t="str">
            <v>Chilli 辣椒酱</v>
          </cell>
          <cell r="D232" t="str">
            <v>Singapore</v>
          </cell>
          <cell r="E232" t="str">
            <v>-</v>
          </cell>
          <cell r="DA232">
            <v>33.5</v>
          </cell>
        </row>
        <row r="233">
          <cell r="B233" t="str">
            <v>P3043</v>
          </cell>
          <cell r="C233" t="str">
            <v>Sour Plum 酸梅</v>
          </cell>
          <cell r="D233" t="str">
            <v>Taiwan</v>
          </cell>
          <cell r="E233" t="str">
            <v>-</v>
          </cell>
          <cell r="F233" t="str">
            <v>500 GMS</v>
          </cell>
          <cell r="G233" t="str">
            <v>Bag</v>
          </cell>
          <cell r="H233">
            <v>6.25</v>
          </cell>
          <cell r="BU233">
            <v>8</v>
          </cell>
          <cell r="BY233">
            <v>8</v>
          </cell>
          <cell r="BZ233">
            <v>8</v>
          </cell>
          <cell r="DA233">
            <v>6.25</v>
          </cell>
        </row>
        <row r="234">
          <cell r="B234" t="str">
            <v>P3044</v>
          </cell>
          <cell r="C234" t="str">
            <v>Sour Plum 酸梅（无子）</v>
          </cell>
          <cell r="D234" t="str">
            <v>Malaysia</v>
          </cell>
          <cell r="E234" t="str">
            <v>-</v>
          </cell>
          <cell r="F234" t="str">
            <v>1 kg</v>
          </cell>
          <cell r="G234" t="str">
            <v>Bag</v>
          </cell>
          <cell r="H234">
            <v>22</v>
          </cell>
          <cell r="I234">
            <v>22</v>
          </cell>
          <cell r="J234">
            <v>18.5</v>
          </cell>
          <cell r="AO234">
            <v>18.5</v>
          </cell>
          <cell r="AT234">
            <v>18.5</v>
          </cell>
          <cell r="BU234">
            <v>22</v>
          </cell>
          <cell r="BY234">
            <v>0</v>
          </cell>
          <cell r="BZ234">
            <v>0</v>
          </cell>
          <cell r="DA234">
            <v>14.533333333333333</v>
          </cell>
        </row>
        <row r="235">
          <cell r="B235" t="str">
            <v>P3045</v>
          </cell>
          <cell r="C235" t="str">
            <v>Colour Rice 七彩米</v>
          </cell>
          <cell r="E235" t="str">
            <v>-</v>
          </cell>
          <cell r="F235" t="str">
            <v>1kg</v>
          </cell>
          <cell r="G235" t="str">
            <v>Pkt</v>
          </cell>
          <cell r="H235">
            <v>9</v>
          </cell>
          <cell r="O235">
            <v>9</v>
          </cell>
          <cell r="P235">
            <v>9</v>
          </cell>
          <cell r="Q235">
            <v>9</v>
          </cell>
          <cell r="R235">
            <v>9</v>
          </cell>
          <cell r="S235">
            <v>9</v>
          </cell>
          <cell r="BZ235">
            <v>9</v>
          </cell>
        </row>
        <row r="236">
          <cell r="B236" t="str">
            <v>P3046</v>
          </cell>
          <cell r="C236" t="str">
            <v>CoCo Rice 可可米</v>
          </cell>
          <cell r="E236" t="str">
            <v>-</v>
          </cell>
          <cell r="F236" t="str">
            <v>1kg</v>
          </cell>
          <cell r="G236" t="str">
            <v>Pkt</v>
          </cell>
          <cell r="H236">
            <v>8</v>
          </cell>
          <cell r="O236">
            <v>8</v>
          </cell>
          <cell r="Q236">
            <v>8</v>
          </cell>
          <cell r="R236">
            <v>8</v>
          </cell>
        </row>
        <row r="237">
          <cell r="B237" t="str">
            <v>P3047</v>
          </cell>
          <cell r="C237" t="str">
            <v>Liquorice 甘草</v>
          </cell>
          <cell r="F237" t="str">
            <v>1kg</v>
          </cell>
          <cell r="G237" t="str">
            <v>Pkt</v>
          </cell>
          <cell r="H237">
            <v>10.5</v>
          </cell>
        </row>
        <row r="238">
          <cell r="B238" t="str">
            <v>P3048</v>
          </cell>
          <cell r="C238" t="str">
            <v>Ginseng 人参</v>
          </cell>
          <cell r="F238" t="str">
            <v>1kg</v>
          </cell>
          <cell r="G238" t="str">
            <v>Pkt</v>
          </cell>
        </row>
        <row r="239">
          <cell r="B239" t="str">
            <v>P3049</v>
          </cell>
          <cell r="C239" t="str">
            <v>Honeysuckle 金银花</v>
          </cell>
          <cell r="F239" t="str">
            <v>1kg</v>
          </cell>
          <cell r="G239" t="str">
            <v>Pkt</v>
          </cell>
        </row>
        <row r="240">
          <cell r="B240" t="str">
            <v>P3050</v>
          </cell>
          <cell r="C240" t="str">
            <v>Fritillary 川贝</v>
          </cell>
          <cell r="F240" t="str">
            <v>1kg</v>
          </cell>
          <cell r="G240" t="str">
            <v>Pkt</v>
          </cell>
        </row>
        <row r="241">
          <cell r="B241" t="str">
            <v>P3051</v>
          </cell>
          <cell r="C241" t="str">
            <v>Sweet Almond 南杏</v>
          </cell>
          <cell r="F241" t="str">
            <v>1kg</v>
          </cell>
          <cell r="G241" t="str">
            <v>Pkt</v>
          </cell>
        </row>
        <row r="242">
          <cell r="B242" t="str">
            <v>P3052</v>
          </cell>
          <cell r="C242" t="str">
            <v>Bitter Almond 北杏</v>
          </cell>
          <cell r="F242" t="str">
            <v>1kg</v>
          </cell>
          <cell r="G242" t="str">
            <v>Pkt</v>
          </cell>
        </row>
        <row r="243">
          <cell r="B243" t="str">
            <v>P3053</v>
          </cell>
          <cell r="C243" t="str">
            <v>Black Date 黑枣</v>
          </cell>
          <cell r="F243" t="str">
            <v>1kg</v>
          </cell>
          <cell r="G243" t="str">
            <v>Pkt</v>
          </cell>
        </row>
        <row r="244">
          <cell r="B244" t="str">
            <v>P3054</v>
          </cell>
          <cell r="C244" t="str">
            <v>China Barley 中国薏米</v>
          </cell>
          <cell r="F244" t="str">
            <v>1kg</v>
          </cell>
          <cell r="G244" t="str">
            <v>Pkt</v>
          </cell>
        </row>
        <row r="245">
          <cell r="B245" t="str">
            <v>P3055</v>
          </cell>
          <cell r="C245" t="str">
            <v>Smoke Plum 乌梅</v>
          </cell>
          <cell r="F245" t="str">
            <v>1kg</v>
          </cell>
          <cell r="G245" t="str">
            <v>Pkt</v>
          </cell>
          <cell r="H245">
            <v>14</v>
          </cell>
        </row>
        <row r="246">
          <cell r="B246" t="str">
            <v>P3056</v>
          </cell>
          <cell r="C246" t="str">
            <v>Premium Figs 无花果</v>
          </cell>
          <cell r="F246" t="str">
            <v>1kg</v>
          </cell>
          <cell r="G246" t="str">
            <v>Pkt</v>
          </cell>
        </row>
        <row r="247">
          <cell r="B247" t="str">
            <v>P3057</v>
          </cell>
          <cell r="C247" t="str">
            <v>Flatted Orange 橘饼</v>
          </cell>
          <cell r="F247" t="str">
            <v>1kg</v>
          </cell>
          <cell r="G247" t="str">
            <v>Pkt</v>
          </cell>
          <cell r="H247">
            <v>6.5</v>
          </cell>
        </row>
        <row r="248">
          <cell r="B248" t="str">
            <v>P3058</v>
          </cell>
          <cell r="C248" t="str">
            <v>Wheatgrass 小麦草</v>
          </cell>
          <cell r="F248" t="str">
            <v>1kg</v>
          </cell>
          <cell r="G248" t="str">
            <v>Pkt</v>
          </cell>
        </row>
        <row r="249">
          <cell r="B249" t="str">
            <v>P3059</v>
          </cell>
          <cell r="C249" t="str">
            <v>BLANDED APRICOT KERNELS光中杏 (南杏)</v>
          </cell>
          <cell r="D249" t="str">
            <v>Singapore</v>
          </cell>
          <cell r="F249" t="str">
            <v>3 KGS</v>
          </cell>
          <cell r="G249" t="str">
            <v>Btl</v>
          </cell>
          <cell r="BZ249">
            <v>25</v>
          </cell>
          <cell r="DA249">
            <v>37.5</v>
          </cell>
        </row>
        <row r="250">
          <cell r="B250" t="str">
            <v>P3060</v>
          </cell>
          <cell r="C250" t="str">
            <v>OSMANTHUS</v>
          </cell>
          <cell r="D250" t="str">
            <v>China</v>
          </cell>
          <cell r="E250" t="str">
            <v>-</v>
          </cell>
          <cell r="F250" t="str">
            <v>100 GM</v>
          </cell>
          <cell r="G250" t="str">
            <v>PKT</v>
          </cell>
          <cell r="H250">
            <v>9.5230000000000015</v>
          </cell>
          <cell r="AA250">
            <v>15</v>
          </cell>
          <cell r="DA250">
            <v>8.9</v>
          </cell>
        </row>
        <row r="251">
          <cell r="B251" t="str">
            <v>P3061</v>
          </cell>
          <cell r="C251" t="str">
            <v>COARSE SALT</v>
          </cell>
          <cell r="E251" t="str">
            <v>-</v>
          </cell>
          <cell r="F251" t="str">
            <v>3 KGS</v>
          </cell>
          <cell r="G251" t="str">
            <v>PKT</v>
          </cell>
          <cell r="H251">
            <v>5.5</v>
          </cell>
          <cell r="P251">
            <v>2.5</v>
          </cell>
        </row>
        <row r="252">
          <cell r="B252" t="str">
            <v>P3062</v>
          </cell>
          <cell r="C252" t="str">
            <v xml:space="preserve">DRIED ROSELLE </v>
          </cell>
          <cell r="D252" t="str">
            <v>China</v>
          </cell>
          <cell r="E252" t="str">
            <v>China</v>
          </cell>
          <cell r="F252" t="str">
            <v>1 KG</v>
          </cell>
          <cell r="G252" t="str">
            <v>PKT</v>
          </cell>
          <cell r="H252">
            <v>13.5</v>
          </cell>
          <cell r="I252">
            <v>20</v>
          </cell>
          <cell r="CE252">
            <v>20</v>
          </cell>
          <cell r="DA252">
            <v>13.5</v>
          </cell>
        </row>
        <row r="253">
          <cell r="B253" t="str">
            <v>P3063</v>
          </cell>
          <cell r="C253" t="str">
            <v>White Sesame Seeds</v>
          </cell>
          <cell r="D253" t="str">
            <v>China</v>
          </cell>
          <cell r="E253" t="str">
            <v>China</v>
          </cell>
          <cell r="F253" t="str">
            <v>25 kgs</v>
          </cell>
          <cell r="G253" t="str">
            <v>PKT</v>
          </cell>
          <cell r="H253">
            <v>13.5</v>
          </cell>
          <cell r="J253">
            <v>99.5</v>
          </cell>
          <cell r="DA253">
            <v>87.5</v>
          </cell>
        </row>
        <row r="254">
          <cell r="B254" t="str">
            <v>P3064</v>
          </cell>
          <cell r="C254" t="str">
            <v>White Pepper</v>
          </cell>
          <cell r="E254" t="str">
            <v>Malaysia</v>
          </cell>
          <cell r="F254" t="str">
            <v>30gm/btl</v>
          </cell>
          <cell r="G254" t="str">
            <v>BTL</v>
          </cell>
          <cell r="P254">
            <v>2</v>
          </cell>
        </row>
        <row r="255">
          <cell r="B255" t="str">
            <v>P4001</v>
          </cell>
          <cell r="C255" t="str">
            <v>Sea Coconut海底椰</v>
          </cell>
          <cell r="D255" t="str">
            <v>Thailand</v>
          </cell>
          <cell r="E255" t="str">
            <v>MiLi</v>
          </cell>
          <cell r="F255" t="str">
            <v>(565gm x 12)/箱</v>
          </cell>
          <cell r="G255" t="str">
            <v>CTN</v>
          </cell>
          <cell r="H255">
            <v>23</v>
          </cell>
          <cell r="I255">
            <v>32</v>
          </cell>
          <cell r="J255">
            <v>29</v>
          </cell>
          <cell r="M255">
            <v>27</v>
          </cell>
          <cell r="AO255">
            <v>29</v>
          </cell>
          <cell r="AP255">
            <v>29</v>
          </cell>
          <cell r="AQ255">
            <v>29</v>
          </cell>
          <cell r="AR255">
            <v>29</v>
          </cell>
          <cell r="AT255">
            <v>29</v>
          </cell>
          <cell r="AU255">
            <v>29</v>
          </cell>
          <cell r="AV255">
            <v>29</v>
          </cell>
          <cell r="AW255">
            <v>29</v>
          </cell>
          <cell r="AX255">
            <v>29</v>
          </cell>
          <cell r="AY255">
            <v>29</v>
          </cell>
          <cell r="AZ255">
            <v>29</v>
          </cell>
          <cell r="BA255">
            <v>29</v>
          </cell>
          <cell r="BC255">
            <v>29</v>
          </cell>
          <cell r="BX255">
            <v>29</v>
          </cell>
          <cell r="DA255">
            <v>25</v>
          </cell>
        </row>
        <row r="256">
          <cell r="B256" t="str">
            <v>P4001A</v>
          </cell>
          <cell r="C256" t="str">
            <v>Sea Coconut海底椰</v>
          </cell>
          <cell r="D256" t="str">
            <v>Thailand</v>
          </cell>
          <cell r="E256" t="str">
            <v>MiLi</v>
          </cell>
          <cell r="F256" t="str">
            <v>(565gm x 6)/箱</v>
          </cell>
          <cell r="G256" t="str">
            <v>CTN</v>
          </cell>
          <cell r="H256">
            <v>29.900000000000002</v>
          </cell>
          <cell r="I256">
            <v>16</v>
          </cell>
          <cell r="DA256">
            <v>12.5</v>
          </cell>
        </row>
        <row r="257">
          <cell r="B257" t="str">
            <v>P4002</v>
          </cell>
          <cell r="C257" t="str">
            <v>Sea Coconut海底椰</v>
          </cell>
          <cell r="E257" t="str">
            <v>SUN KEE</v>
          </cell>
          <cell r="F257" t="str">
            <v>6 CAN X A10</v>
          </cell>
          <cell r="G257" t="str">
            <v>CTN</v>
          </cell>
          <cell r="H257">
            <v>77</v>
          </cell>
          <cell r="N257">
            <v>85</v>
          </cell>
          <cell r="O257">
            <v>85</v>
          </cell>
          <cell r="DA257">
            <v>70</v>
          </cell>
        </row>
        <row r="258">
          <cell r="B258" t="str">
            <v>P4002A</v>
          </cell>
          <cell r="C258" t="str">
            <v>Sea Coconut海底椰</v>
          </cell>
          <cell r="D258" t="str">
            <v>-</v>
          </cell>
          <cell r="E258" t="str">
            <v>SUN KEE</v>
          </cell>
          <cell r="F258" t="str">
            <v>1 Can X A10</v>
          </cell>
          <cell r="G258" t="str">
            <v>Can</v>
          </cell>
          <cell r="H258">
            <v>12.833333333333334</v>
          </cell>
          <cell r="I258">
            <v>0</v>
          </cell>
          <cell r="M258">
            <v>0</v>
          </cell>
          <cell r="N258">
            <v>14.2</v>
          </cell>
          <cell r="O258">
            <v>0</v>
          </cell>
          <cell r="P258">
            <v>0</v>
          </cell>
          <cell r="Q258">
            <v>0</v>
          </cell>
          <cell r="S258">
            <v>17</v>
          </cell>
          <cell r="V258">
            <v>0</v>
          </cell>
          <cell r="Z258">
            <v>15</v>
          </cell>
          <cell r="AE258">
            <v>17</v>
          </cell>
          <cell r="DA258">
            <v>11.666666666666666</v>
          </cell>
        </row>
        <row r="259">
          <cell r="B259" t="str">
            <v>P4003</v>
          </cell>
          <cell r="C259" t="str">
            <v>Sea Coconut海底椰</v>
          </cell>
          <cell r="D259" t="str">
            <v>Thailand</v>
          </cell>
          <cell r="E259" t="str">
            <v>Chefs</v>
          </cell>
          <cell r="F259" t="str">
            <v>6 Can X A10</v>
          </cell>
          <cell r="G259" t="str">
            <v>CTN</v>
          </cell>
          <cell r="DA259">
            <v>86</v>
          </cell>
        </row>
        <row r="260">
          <cell r="B260" t="str">
            <v>P4003A</v>
          </cell>
          <cell r="C260" t="str">
            <v>Sea Coconut海底椰</v>
          </cell>
          <cell r="D260" t="str">
            <v>Thailand</v>
          </cell>
          <cell r="E260" t="str">
            <v>Chefs</v>
          </cell>
          <cell r="F260" t="str">
            <v>1 Can X A10</v>
          </cell>
          <cell r="G260" t="str">
            <v>Can</v>
          </cell>
          <cell r="H260">
            <v>18.384615384615383</v>
          </cell>
          <cell r="I260">
            <v>18</v>
          </cell>
          <cell r="L260">
            <v>19</v>
          </cell>
          <cell r="M260">
            <v>19</v>
          </cell>
          <cell r="N260">
            <v>18</v>
          </cell>
          <cell r="P260">
            <v>18</v>
          </cell>
          <cell r="Q260">
            <v>19</v>
          </cell>
          <cell r="R260">
            <v>18</v>
          </cell>
          <cell r="V260">
            <v>18</v>
          </cell>
          <cell r="Z260">
            <v>18</v>
          </cell>
          <cell r="AB260">
            <v>18</v>
          </cell>
          <cell r="AC260">
            <v>18</v>
          </cell>
          <cell r="AE260">
            <v>19</v>
          </cell>
          <cell r="AJ260">
            <v>19</v>
          </cell>
          <cell r="BL260">
            <v>19</v>
          </cell>
          <cell r="BU260">
            <v>19</v>
          </cell>
          <cell r="BY260">
            <v>18</v>
          </cell>
          <cell r="BZ260">
            <v>19</v>
          </cell>
          <cell r="DA260">
            <v>14.333333333333334</v>
          </cell>
        </row>
        <row r="261">
          <cell r="B261" t="str">
            <v>P4004</v>
          </cell>
          <cell r="C261" t="str">
            <v>Nata De Coco椰果芊 15mm</v>
          </cell>
          <cell r="D261" t="str">
            <v>Thailand</v>
          </cell>
          <cell r="E261" t="str">
            <v>Chefs</v>
          </cell>
          <cell r="F261" t="str">
            <v>6 Can X A10</v>
          </cell>
          <cell r="G261" t="str">
            <v>CTN</v>
          </cell>
          <cell r="DA261">
            <v>41.5</v>
          </cell>
        </row>
        <row r="262">
          <cell r="B262" t="str">
            <v>P4004A</v>
          </cell>
          <cell r="C262" t="str">
            <v>Nata De Coco椰果芊 15mm</v>
          </cell>
          <cell r="D262" t="str">
            <v>Thailand</v>
          </cell>
          <cell r="E262" t="str">
            <v>Chefs</v>
          </cell>
          <cell r="F262" t="str">
            <v>1 Can X A10</v>
          </cell>
          <cell r="G262" t="str">
            <v>Can</v>
          </cell>
          <cell r="H262">
            <v>7.5</v>
          </cell>
          <cell r="I262">
            <v>9.5</v>
          </cell>
          <cell r="J262">
            <v>9.5</v>
          </cell>
          <cell r="L262">
            <v>9</v>
          </cell>
          <cell r="N262">
            <v>9</v>
          </cell>
          <cell r="P262">
            <v>9</v>
          </cell>
          <cell r="Q262">
            <v>9</v>
          </cell>
          <cell r="R262">
            <v>9</v>
          </cell>
          <cell r="S262">
            <v>9.5</v>
          </cell>
          <cell r="Z262">
            <v>9.5</v>
          </cell>
          <cell r="AA262">
            <v>9.5</v>
          </cell>
          <cell r="AB262">
            <v>9.5</v>
          </cell>
          <cell r="AC262">
            <v>9.5</v>
          </cell>
          <cell r="AE262">
            <v>10</v>
          </cell>
          <cell r="AJ262">
            <v>9.5</v>
          </cell>
          <cell r="AO262">
            <v>9.5</v>
          </cell>
          <cell r="AP262">
            <v>9.5</v>
          </cell>
          <cell r="AQ262">
            <v>9.5</v>
          </cell>
          <cell r="AR262">
            <v>9.5</v>
          </cell>
          <cell r="AT262">
            <v>9.5</v>
          </cell>
          <cell r="AU262">
            <v>9.5</v>
          </cell>
          <cell r="AV262">
            <v>9.5</v>
          </cell>
          <cell r="AW262">
            <v>9.5</v>
          </cell>
          <cell r="AX262">
            <v>9.5</v>
          </cell>
          <cell r="AY262">
            <v>9.5</v>
          </cell>
          <cell r="AZ262">
            <v>9.5</v>
          </cell>
          <cell r="BA262">
            <v>9.5</v>
          </cell>
          <cell r="BB262">
            <v>9.5</v>
          </cell>
          <cell r="BC262">
            <v>9.5</v>
          </cell>
          <cell r="BJ262">
            <v>9.5</v>
          </cell>
          <cell r="BZ262">
            <v>9.5</v>
          </cell>
          <cell r="DA262">
            <v>6.916666666666667</v>
          </cell>
        </row>
        <row r="263">
          <cell r="B263" t="str">
            <v>P4005</v>
          </cell>
          <cell r="C263" t="str">
            <v>Nata De Coco椰果芊 0.5 x 0.5</v>
          </cell>
          <cell r="D263" t="str">
            <v>Thailand</v>
          </cell>
          <cell r="E263" t="str">
            <v>Chefs</v>
          </cell>
          <cell r="F263" t="str">
            <v>6 Can X A10</v>
          </cell>
          <cell r="G263" t="str">
            <v>CTN</v>
          </cell>
          <cell r="DA263">
            <v>46</v>
          </cell>
        </row>
        <row r="264">
          <cell r="B264" t="str">
            <v>P4005A</v>
          </cell>
          <cell r="C264" t="str">
            <v>Nata De Coco椰果芊 0.5 x 0.5</v>
          </cell>
          <cell r="D264" t="str">
            <v>Thailand</v>
          </cell>
          <cell r="E264" t="str">
            <v>Chefs</v>
          </cell>
          <cell r="F264" t="str">
            <v>1 Can X A10</v>
          </cell>
          <cell r="G264" t="str">
            <v>Can</v>
          </cell>
          <cell r="I264">
            <v>9.8000000000000007</v>
          </cell>
          <cell r="T264">
            <v>10.5</v>
          </cell>
          <cell r="DA264">
            <v>7.666666666666667</v>
          </cell>
        </row>
        <row r="265">
          <cell r="B265" t="str">
            <v>P4006</v>
          </cell>
          <cell r="C265" t="str">
            <v>Aloe Vera芦荟 10mm</v>
          </cell>
          <cell r="D265" t="str">
            <v>Thailand</v>
          </cell>
          <cell r="E265" t="str">
            <v>Chefs</v>
          </cell>
          <cell r="F265" t="str">
            <v>6 Can X A10</v>
          </cell>
          <cell r="G265" t="str">
            <v>CTN</v>
          </cell>
          <cell r="DA265">
            <v>42</v>
          </cell>
        </row>
        <row r="266">
          <cell r="B266" t="str">
            <v>P4006A</v>
          </cell>
          <cell r="C266" t="str">
            <v>Aloe Vera芦荟 10mm</v>
          </cell>
          <cell r="D266" t="str">
            <v>Thailand</v>
          </cell>
          <cell r="E266" t="str">
            <v>Chefs</v>
          </cell>
          <cell r="F266" t="str">
            <v>1 Can X A10</v>
          </cell>
          <cell r="G266" t="str">
            <v>Can</v>
          </cell>
          <cell r="H266">
            <v>10</v>
          </cell>
          <cell r="I266">
            <v>9</v>
          </cell>
          <cell r="J266">
            <v>10</v>
          </cell>
          <cell r="L266">
            <v>10</v>
          </cell>
          <cell r="P266">
            <v>10</v>
          </cell>
          <cell r="Q266">
            <v>10</v>
          </cell>
          <cell r="R266">
            <v>10</v>
          </cell>
          <cell r="Z266">
            <v>10</v>
          </cell>
          <cell r="AB266">
            <v>10</v>
          </cell>
          <cell r="AC266">
            <v>10</v>
          </cell>
          <cell r="AP266">
            <v>10</v>
          </cell>
          <cell r="AQ266">
            <v>10</v>
          </cell>
          <cell r="AR266">
            <v>10</v>
          </cell>
          <cell r="AT266">
            <v>10</v>
          </cell>
          <cell r="AU266">
            <v>10</v>
          </cell>
          <cell r="AV266">
            <v>10</v>
          </cell>
          <cell r="AW266">
            <v>10</v>
          </cell>
          <cell r="AX266">
            <v>10</v>
          </cell>
          <cell r="AY266">
            <v>10</v>
          </cell>
          <cell r="AZ266">
            <v>10</v>
          </cell>
          <cell r="BA266">
            <v>10</v>
          </cell>
          <cell r="BB266">
            <v>10</v>
          </cell>
          <cell r="BC266">
            <v>10</v>
          </cell>
          <cell r="BS266">
            <v>10</v>
          </cell>
          <cell r="BZ266">
            <v>10</v>
          </cell>
          <cell r="CF266">
            <v>10</v>
          </cell>
          <cell r="DA266">
            <v>7</v>
          </cell>
        </row>
        <row r="267">
          <cell r="B267" t="str">
            <v>P4007</v>
          </cell>
          <cell r="C267" t="str">
            <v>Longan in Syrup龙眼</v>
          </cell>
          <cell r="D267" t="str">
            <v>China</v>
          </cell>
          <cell r="E267" t="str">
            <v>YiFong</v>
          </cell>
          <cell r="F267" t="str">
            <v>(565gm x 12)/箱</v>
          </cell>
          <cell r="G267" t="str">
            <v>CTN</v>
          </cell>
          <cell r="H267">
            <v>22</v>
          </cell>
          <cell r="I267">
            <v>23</v>
          </cell>
          <cell r="J267">
            <v>24</v>
          </cell>
          <cell r="L267">
            <v>23</v>
          </cell>
          <cell r="N267">
            <v>23</v>
          </cell>
          <cell r="P267">
            <v>23</v>
          </cell>
          <cell r="Q267">
            <v>24</v>
          </cell>
          <cell r="R267">
            <v>23</v>
          </cell>
          <cell r="S267">
            <v>24</v>
          </cell>
          <cell r="V267">
            <v>24</v>
          </cell>
          <cell r="Z267">
            <v>24</v>
          </cell>
          <cell r="AA267">
            <v>25</v>
          </cell>
          <cell r="AB267">
            <v>23</v>
          </cell>
          <cell r="AE267">
            <v>23</v>
          </cell>
          <cell r="AF267">
            <v>23</v>
          </cell>
          <cell r="AM267">
            <v>23</v>
          </cell>
          <cell r="AO267">
            <v>24</v>
          </cell>
          <cell r="AP267">
            <v>24</v>
          </cell>
          <cell r="AQ267">
            <v>24</v>
          </cell>
          <cell r="AR267">
            <v>24</v>
          </cell>
          <cell r="AT267">
            <v>24</v>
          </cell>
          <cell r="AU267">
            <v>24</v>
          </cell>
          <cell r="AV267">
            <v>24</v>
          </cell>
          <cell r="AW267">
            <v>24</v>
          </cell>
          <cell r="AX267">
            <v>24</v>
          </cell>
          <cell r="AY267">
            <v>24</v>
          </cell>
          <cell r="AZ267">
            <v>24</v>
          </cell>
          <cell r="BA267">
            <v>24</v>
          </cell>
          <cell r="BC267">
            <v>24</v>
          </cell>
          <cell r="BF267">
            <v>24</v>
          </cell>
          <cell r="BH267">
            <v>24</v>
          </cell>
          <cell r="BU267">
            <v>23</v>
          </cell>
          <cell r="BX267">
            <v>24</v>
          </cell>
          <cell r="BY267">
            <v>23</v>
          </cell>
          <cell r="BZ267">
            <v>23</v>
          </cell>
          <cell r="DA267">
            <v>18.055555555555557</v>
          </cell>
        </row>
        <row r="268">
          <cell r="B268" t="str">
            <v>P4008</v>
          </cell>
          <cell r="C268" t="str">
            <v>Longan in Syrup龙眼</v>
          </cell>
          <cell r="D268" t="str">
            <v>Thailand</v>
          </cell>
          <cell r="E268" t="str">
            <v>MiLi</v>
          </cell>
          <cell r="F268" t="str">
            <v>(565gm x 12)/箱</v>
          </cell>
          <cell r="G268" t="str">
            <v>CTN</v>
          </cell>
          <cell r="I268">
            <v>26</v>
          </cell>
          <cell r="AC268">
            <v>25</v>
          </cell>
          <cell r="DA268">
            <v>18.13</v>
          </cell>
        </row>
        <row r="269">
          <cell r="B269" t="str">
            <v>P4009</v>
          </cell>
          <cell r="C269" t="str">
            <v>Lychee in Syrup荔枝</v>
          </cell>
          <cell r="D269" t="str">
            <v>China</v>
          </cell>
          <cell r="E269" t="str">
            <v>Golden Champ</v>
          </cell>
          <cell r="F269" t="str">
            <v>(567gm x 24)/箱</v>
          </cell>
          <cell r="G269" t="str">
            <v>CTN</v>
          </cell>
          <cell r="H269">
            <v>31</v>
          </cell>
          <cell r="R269">
            <v>40</v>
          </cell>
          <cell r="DA269">
            <v>34.5</v>
          </cell>
        </row>
        <row r="270">
          <cell r="B270" t="str">
            <v>P4009A</v>
          </cell>
          <cell r="C270" t="str">
            <v>Lychee in Syrup荔枝</v>
          </cell>
          <cell r="D270" t="str">
            <v>China</v>
          </cell>
          <cell r="E270" t="str">
            <v>Golden Champ</v>
          </cell>
          <cell r="F270" t="str">
            <v>(567gm x 12)/箱</v>
          </cell>
          <cell r="G270" t="str">
            <v>CTN</v>
          </cell>
          <cell r="H270">
            <v>16</v>
          </cell>
          <cell r="I270">
            <v>21</v>
          </cell>
          <cell r="L270">
            <v>0</v>
          </cell>
          <cell r="DA270">
            <v>17.25</v>
          </cell>
        </row>
        <row r="271">
          <cell r="B271" t="str">
            <v>P4009B</v>
          </cell>
          <cell r="C271" t="str">
            <v>Lychee in Syrup荔枝</v>
          </cell>
          <cell r="D271" t="str">
            <v>China</v>
          </cell>
          <cell r="E271" t="str">
            <v>Golden Champ</v>
          </cell>
          <cell r="F271" t="str">
            <v>567 GM/CAN</v>
          </cell>
          <cell r="G271" t="str">
            <v>CAN</v>
          </cell>
          <cell r="H271">
            <v>1.3333333333333333</v>
          </cell>
          <cell r="DA271">
            <v>1.4375</v>
          </cell>
        </row>
        <row r="272">
          <cell r="B272" t="str">
            <v>P4010</v>
          </cell>
          <cell r="C272" t="str">
            <v>Lychee in Syrup荔枝</v>
          </cell>
          <cell r="D272" t="str">
            <v>Thailand</v>
          </cell>
          <cell r="E272" t="str">
            <v>MiLi</v>
          </cell>
          <cell r="F272" t="str">
            <v>12can/箱</v>
          </cell>
          <cell r="G272" t="str">
            <v>CTN</v>
          </cell>
          <cell r="H272">
            <v>20</v>
          </cell>
          <cell r="I272">
            <v>24</v>
          </cell>
          <cell r="P272">
            <v>24</v>
          </cell>
          <cell r="Q272">
            <v>24</v>
          </cell>
          <cell r="R272">
            <v>24</v>
          </cell>
          <cell r="S272">
            <v>26</v>
          </cell>
          <cell r="V272">
            <v>26</v>
          </cell>
          <cell r="AA272">
            <v>26</v>
          </cell>
          <cell r="AC272">
            <v>25</v>
          </cell>
          <cell r="AM272">
            <v>25</v>
          </cell>
          <cell r="BZ272">
            <v>24</v>
          </cell>
          <cell r="DA272">
            <v>20</v>
          </cell>
        </row>
        <row r="273">
          <cell r="B273" t="str">
            <v>P4011</v>
          </cell>
          <cell r="C273" t="str">
            <v>Lychee in Syrup荔枝</v>
          </cell>
          <cell r="D273" t="str">
            <v>China</v>
          </cell>
          <cell r="E273" t="str">
            <v>Statue</v>
          </cell>
          <cell r="F273" t="str">
            <v>12 CAN/CARTON</v>
          </cell>
          <cell r="G273" t="str">
            <v>CTN</v>
          </cell>
          <cell r="H273">
            <v>0</v>
          </cell>
          <cell r="J273">
            <v>18</v>
          </cell>
          <cell r="P273">
            <v>0</v>
          </cell>
          <cell r="AV273">
            <v>18</v>
          </cell>
          <cell r="BX273">
            <v>18</v>
          </cell>
          <cell r="DA273">
            <v>16.5</v>
          </cell>
        </row>
        <row r="274">
          <cell r="B274" t="str">
            <v>P4012</v>
          </cell>
          <cell r="C274" t="str">
            <v>Fruit Cocktail杂果</v>
          </cell>
          <cell r="D274" t="str">
            <v>Thailand</v>
          </cell>
          <cell r="E274" t="str">
            <v>Golden Champ</v>
          </cell>
          <cell r="F274" t="str">
            <v>(820gm x 12)/箱</v>
          </cell>
          <cell r="G274" t="str">
            <v>CTN</v>
          </cell>
          <cell r="H274">
            <v>23</v>
          </cell>
          <cell r="I274">
            <v>32</v>
          </cell>
          <cell r="BX274">
            <v>0</v>
          </cell>
          <cell r="BY274">
            <v>28</v>
          </cell>
          <cell r="DA274">
            <v>23</v>
          </cell>
        </row>
        <row r="275">
          <cell r="B275" t="str">
            <v>P4013</v>
          </cell>
          <cell r="C275" t="str">
            <v>Fruit Cocktail杂果</v>
          </cell>
          <cell r="E275" t="str">
            <v>Statue</v>
          </cell>
          <cell r="F275" t="str">
            <v>(820gm x 12)/箱</v>
          </cell>
          <cell r="G275" t="str">
            <v>CTN</v>
          </cell>
          <cell r="H275">
            <v>27</v>
          </cell>
          <cell r="I275">
            <v>35</v>
          </cell>
          <cell r="L275">
            <v>33</v>
          </cell>
          <cell r="M275">
            <v>33</v>
          </cell>
          <cell r="P275">
            <v>32</v>
          </cell>
          <cell r="Q275">
            <v>32</v>
          </cell>
          <cell r="R275">
            <v>32</v>
          </cell>
          <cell r="S275">
            <v>34</v>
          </cell>
          <cell r="V275">
            <v>35</v>
          </cell>
          <cell r="AB275">
            <v>33</v>
          </cell>
          <cell r="AC275">
            <v>35</v>
          </cell>
          <cell r="AK275">
            <v>32</v>
          </cell>
          <cell r="BU275">
            <v>32</v>
          </cell>
          <cell r="BZ275">
            <v>36</v>
          </cell>
          <cell r="DA275">
            <v>27</v>
          </cell>
        </row>
        <row r="276">
          <cell r="B276" t="str">
            <v>P4014</v>
          </cell>
          <cell r="C276" t="str">
            <v>Cream Corn玉米浆</v>
          </cell>
          <cell r="D276" t="str">
            <v>Thailand</v>
          </cell>
          <cell r="E276" t="str">
            <v>Statue</v>
          </cell>
          <cell r="F276" t="str">
            <v>(425gm x 24)/箱</v>
          </cell>
          <cell r="G276" t="str">
            <v>CTN</v>
          </cell>
          <cell r="H276">
            <v>15</v>
          </cell>
          <cell r="I276">
            <v>21</v>
          </cell>
          <cell r="J276">
            <v>20.5</v>
          </cell>
          <cell r="L276">
            <v>21</v>
          </cell>
          <cell r="N276">
            <v>21</v>
          </cell>
          <cell r="P276">
            <v>21</v>
          </cell>
          <cell r="Q276">
            <v>22</v>
          </cell>
          <cell r="R276">
            <v>21</v>
          </cell>
          <cell r="S276">
            <v>22</v>
          </cell>
          <cell r="U276">
            <v>22</v>
          </cell>
          <cell r="V276">
            <v>22</v>
          </cell>
          <cell r="AB276">
            <v>22</v>
          </cell>
          <cell r="AC276">
            <v>21</v>
          </cell>
          <cell r="AJ276">
            <v>20</v>
          </cell>
          <cell r="AP276">
            <v>20.5</v>
          </cell>
          <cell r="AQ276">
            <v>20.5</v>
          </cell>
          <cell r="AR276">
            <v>20.5</v>
          </cell>
          <cell r="AT276">
            <v>20.5</v>
          </cell>
          <cell r="AU276">
            <v>20.5</v>
          </cell>
          <cell r="AV276">
            <v>20.5</v>
          </cell>
          <cell r="AW276">
            <v>20.5</v>
          </cell>
          <cell r="AX276">
            <v>20.5</v>
          </cell>
          <cell r="AY276">
            <v>20.5</v>
          </cell>
          <cell r="AZ276">
            <v>20.5</v>
          </cell>
          <cell r="BA276">
            <v>20.5</v>
          </cell>
          <cell r="BC276">
            <v>20.5</v>
          </cell>
          <cell r="BH276">
            <v>23</v>
          </cell>
          <cell r="BU276">
            <v>22</v>
          </cell>
          <cell r="BX276">
            <v>20.5</v>
          </cell>
          <cell r="BY276">
            <v>22</v>
          </cell>
          <cell r="BZ276">
            <v>21</v>
          </cell>
          <cell r="DA276">
            <v>16</v>
          </cell>
        </row>
        <row r="277">
          <cell r="B277" t="str">
            <v>P4014A</v>
          </cell>
          <cell r="C277" t="str">
            <v>Cream Corn玉米浆</v>
          </cell>
          <cell r="D277" t="str">
            <v>Thailand</v>
          </cell>
          <cell r="E277" t="str">
            <v>Statue</v>
          </cell>
          <cell r="F277" t="str">
            <v>425 GM/CAN</v>
          </cell>
          <cell r="G277" t="str">
            <v>CAN</v>
          </cell>
          <cell r="H277">
            <v>0.625</v>
          </cell>
          <cell r="DA277">
            <v>0.66666666666666663</v>
          </cell>
        </row>
        <row r="278">
          <cell r="B278" t="str">
            <v>P4015</v>
          </cell>
          <cell r="C278" t="str">
            <v>Whole Corn玉米粒</v>
          </cell>
          <cell r="D278" t="str">
            <v>Thailand</v>
          </cell>
          <cell r="E278" t="str">
            <v>Statue</v>
          </cell>
          <cell r="F278" t="str">
            <v>(410gm x 24)/箱</v>
          </cell>
          <cell r="G278" t="str">
            <v>CTN</v>
          </cell>
          <cell r="H278">
            <v>15</v>
          </cell>
          <cell r="I278">
            <v>21</v>
          </cell>
          <cell r="J278">
            <v>20.5</v>
          </cell>
          <cell r="N278">
            <v>21</v>
          </cell>
          <cell r="P278">
            <v>21</v>
          </cell>
          <cell r="Q278">
            <v>22</v>
          </cell>
          <cell r="R278">
            <v>21</v>
          </cell>
          <cell r="S278">
            <v>22</v>
          </cell>
          <cell r="V278">
            <v>22</v>
          </cell>
          <cell r="AC278">
            <v>21</v>
          </cell>
          <cell r="AM278">
            <v>21</v>
          </cell>
          <cell r="AP278">
            <v>20.5</v>
          </cell>
          <cell r="AQ278">
            <v>20.5</v>
          </cell>
          <cell r="AR278">
            <v>20.5</v>
          </cell>
          <cell r="AT278">
            <v>20.5</v>
          </cell>
          <cell r="AU278">
            <v>20.5</v>
          </cell>
          <cell r="AV278">
            <v>20.5</v>
          </cell>
          <cell r="AW278">
            <v>20.5</v>
          </cell>
          <cell r="AX278">
            <v>20.5</v>
          </cell>
          <cell r="AY278">
            <v>20.5</v>
          </cell>
          <cell r="AZ278">
            <v>20.5</v>
          </cell>
          <cell r="BA278">
            <v>20.5</v>
          </cell>
          <cell r="BC278">
            <v>20.5</v>
          </cell>
          <cell r="BH278">
            <v>23</v>
          </cell>
          <cell r="BU278">
            <v>22</v>
          </cell>
          <cell r="BZ278">
            <v>21</v>
          </cell>
          <cell r="DA278">
            <v>16</v>
          </cell>
        </row>
        <row r="279">
          <cell r="B279" t="str">
            <v>P4015A</v>
          </cell>
          <cell r="C279" t="str">
            <v>Whole Corn玉米粒</v>
          </cell>
          <cell r="D279" t="str">
            <v>Thailand</v>
          </cell>
          <cell r="E279" t="str">
            <v>Statue</v>
          </cell>
          <cell r="F279" t="str">
            <v>425 GM/CAN</v>
          </cell>
          <cell r="G279" t="str">
            <v>CAN</v>
          </cell>
          <cell r="H279">
            <v>0.625</v>
          </cell>
          <cell r="DA279">
            <v>0.66666666666666663</v>
          </cell>
        </row>
        <row r="280">
          <cell r="B280" t="str">
            <v>P4016</v>
          </cell>
          <cell r="C280" t="str">
            <v>Canned Red Bean 罐头 红豆</v>
          </cell>
          <cell r="D280" t="str">
            <v>Taiwan</v>
          </cell>
          <cell r="E280" t="str">
            <v>Joy</v>
          </cell>
          <cell r="F280" t="str">
            <v>3.3KG X 6</v>
          </cell>
          <cell r="G280" t="str">
            <v>CTN</v>
          </cell>
          <cell r="H280">
            <v>45</v>
          </cell>
          <cell r="DA280">
            <v>45</v>
          </cell>
        </row>
        <row r="281">
          <cell r="B281" t="str">
            <v>P4016A</v>
          </cell>
          <cell r="C281" t="str">
            <v>Canned Red Bean 罐头 红豆</v>
          </cell>
          <cell r="D281" t="str">
            <v>Taiwan</v>
          </cell>
          <cell r="E281" t="str">
            <v>Joy</v>
          </cell>
          <cell r="F281" t="str">
            <v xml:space="preserve">3.3KG/Can </v>
          </cell>
          <cell r="G281" t="str">
            <v>CAN</v>
          </cell>
          <cell r="H281">
            <v>7.5</v>
          </cell>
          <cell r="I281">
            <v>9.8000000000000007</v>
          </cell>
          <cell r="U281">
            <v>11</v>
          </cell>
          <cell r="Y281">
            <v>11</v>
          </cell>
          <cell r="AJ281">
            <v>11</v>
          </cell>
          <cell r="BQ281">
            <v>11</v>
          </cell>
          <cell r="BY281">
            <v>11</v>
          </cell>
          <cell r="BZ281">
            <v>11</v>
          </cell>
          <cell r="CC281">
            <v>11</v>
          </cell>
          <cell r="DA281">
            <v>7.5</v>
          </cell>
        </row>
        <row r="282">
          <cell r="B282" t="str">
            <v>P4017</v>
          </cell>
          <cell r="C282" t="str">
            <v xml:space="preserve">Premium Natural Honey </v>
          </cell>
          <cell r="E282" t="str">
            <v>Busy</v>
          </cell>
          <cell r="F282" t="str">
            <v>(1 kg x 12)/1 carton</v>
          </cell>
          <cell r="G282" t="str">
            <v>CTN</v>
          </cell>
          <cell r="H282">
            <v>36</v>
          </cell>
          <cell r="DA282">
            <v>45</v>
          </cell>
        </row>
        <row r="283">
          <cell r="B283" t="str">
            <v>P4017A</v>
          </cell>
          <cell r="C283" t="str">
            <v xml:space="preserve">Premium Natural Honey </v>
          </cell>
          <cell r="E283" t="str">
            <v>Busy</v>
          </cell>
          <cell r="F283" t="str">
            <v>1 KG</v>
          </cell>
          <cell r="G283" t="str">
            <v>TUB</v>
          </cell>
          <cell r="BZ283">
            <v>4.5</v>
          </cell>
          <cell r="DA283">
            <v>3.75</v>
          </cell>
        </row>
        <row r="284">
          <cell r="B284" t="str">
            <v>P4018</v>
          </cell>
          <cell r="C284" t="str">
            <v>Carnation Milk三花淡奶水</v>
          </cell>
          <cell r="D284" t="str">
            <v>Thailand</v>
          </cell>
          <cell r="E284" t="str">
            <v>Threeflower</v>
          </cell>
          <cell r="F284" t="str">
            <v>405 gm x48 can/Ctn</v>
          </cell>
          <cell r="G284" t="str">
            <v>CTN</v>
          </cell>
          <cell r="H284">
            <v>50</v>
          </cell>
          <cell r="I284">
            <v>56</v>
          </cell>
          <cell r="O284">
            <v>58</v>
          </cell>
          <cell r="R284">
            <v>58</v>
          </cell>
          <cell r="AC284">
            <v>58</v>
          </cell>
          <cell r="AK284">
            <v>60</v>
          </cell>
          <cell r="AM284">
            <v>58</v>
          </cell>
          <cell r="BH284">
            <v>60</v>
          </cell>
          <cell r="BT284">
            <v>60</v>
          </cell>
          <cell r="BZ284">
            <v>58</v>
          </cell>
          <cell r="DA284">
            <v>50</v>
          </cell>
        </row>
        <row r="285">
          <cell r="B285" t="str">
            <v>P4018A</v>
          </cell>
          <cell r="C285" t="str">
            <v>Carnation Milk三花淡奶水</v>
          </cell>
          <cell r="D285" t="str">
            <v>Thailand</v>
          </cell>
          <cell r="E285" t="str">
            <v>Threeflower</v>
          </cell>
          <cell r="F285" t="str">
            <v>405gm/can/罐</v>
          </cell>
          <cell r="G285" t="str">
            <v>罐</v>
          </cell>
          <cell r="H285">
            <v>1.0416666666666667</v>
          </cell>
          <cell r="I285">
            <v>0</v>
          </cell>
          <cell r="N285">
            <v>1.3</v>
          </cell>
          <cell r="U285">
            <v>1.3</v>
          </cell>
          <cell r="BT285">
            <v>1.3</v>
          </cell>
          <cell r="BZ285">
            <v>1.3</v>
          </cell>
          <cell r="DA285">
            <v>1.0416666666666667</v>
          </cell>
        </row>
        <row r="286">
          <cell r="B286" t="str">
            <v>P4019</v>
          </cell>
          <cell r="C286" t="str">
            <v>Evaporated Creamer 淡奶水</v>
          </cell>
          <cell r="D286" t="str">
            <v>Thailand</v>
          </cell>
          <cell r="E286" t="str">
            <v>Marigold</v>
          </cell>
          <cell r="F286" t="str">
            <v>48 can/Ctn</v>
          </cell>
          <cell r="G286" t="str">
            <v>CTN</v>
          </cell>
          <cell r="H286">
            <v>46.5</v>
          </cell>
          <cell r="I286">
            <v>52</v>
          </cell>
          <cell r="P286">
            <v>54</v>
          </cell>
          <cell r="AK286">
            <v>52</v>
          </cell>
          <cell r="BY286">
            <v>52</v>
          </cell>
          <cell r="CB286">
            <v>52</v>
          </cell>
          <cell r="DA286">
            <v>48.5</v>
          </cell>
        </row>
        <row r="287">
          <cell r="B287" t="str">
            <v>P4019A</v>
          </cell>
          <cell r="C287" t="str">
            <v>Evaporated Creamer 淡奶水</v>
          </cell>
          <cell r="D287" t="str">
            <v>Thailand</v>
          </cell>
          <cell r="E287" t="str">
            <v>Marigold</v>
          </cell>
          <cell r="F287" t="str">
            <v>1 CAN</v>
          </cell>
          <cell r="G287" t="str">
            <v>CTN</v>
          </cell>
          <cell r="H287">
            <v>0.96875</v>
          </cell>
          <cell r="DA287">
            <v>1.0104166666666667</v>
          </cell>
        </row>
        <row r="288">
          <cell r="B288" t="str">
            <v>P4020</v>
          </cell>
          <cell r="C288" t="str">
            <v>Sweetened Creamer 练奶</v>
          </cell>
          <cell r="D288" t="str">
            <v>Thailand</v>
          </cell>
          <cell r="E288" t="str">
            <v>Dawn牛</v>
          </cell>
          <cell r="F288" t="str">
            <v>380 gm x 48 can/Ctn</v>
          </cell>
          <cell r="G288" t="str">
            <v>CTN</v>
          </cell>
          <cell r="H288">
            <v>38.5</v>
          </cell>
          <cell r="I288">
            <v>43</v>
          </cell>
          <cell r="P288">
            <v>46</v>
          </cell>
          <cell r="R288">
            <v>45</v>
          </cell>
          <cell r="U288">
            <v>45</v>
          </cell>
          <cell r="BH288">
            <v>45</v>
          </cell>
          <cell r="BI288">
            <v>45</v>
          </cell>
          <cell r="BT288">
            <v>44</v>
          </cell>
          <cell r="BZ288">
            <v>44</v>
          </cell>
          <cell r="CB288">
            <v>44</v>
          </cell>
          <cell r="DA288">
            <v>38</v>
          </cell>
        </row>
        <row r="289">
          <cell r="B289" t="str">
            <v>P4020A</v>
          </cell>
          <cell r="C289" t="str">
            <v>Sweetened Creamer 练奶</v>
          </cell>
          <cell r="D289" t="str">
            <v>Thailand</v>
          </cell>
          <cell r="E289" t="str">
            <v>Dawn牛</v>
          </cell>
          <cell r="F289" t="str">
            <v>380GM/CAN</v>
          </cell>
          <cell r="G289" t="str">
            <v>CAN</v>
          </cell>
          <cell r="H289">
            <v>0.80208333333333337</v>
          </cell>
          <cell r="U289">
            <v>1</v>
          </cell>
          <cell r="CB289">
            <v>1</v>
          </cell>
          <cell r="DA289">
            <v>0.79166666666666663</v>
          </cell>
        </row>
        <row r="290">
          <cell r="B290" t="str">
            <v>P4021</v>
          </cell>
          <cell r="C290" t="str">
            <v>Full Cream Milk牛奶</v>
          </cell>
          <cell r="D290" t="str">
            <v>Malaysia</v>
          </cell>
          <cell r="E290" t="str">
            <v>Marigold</v>
          </cell>
          <cell r="F290" t="str">
            <v>1Lt x 12 Pkt/Ctn</v>
          </cell>
          <cell r="G290" t="str">
            <v>CTN</v>
          </cell>
          <cell r="I290">
            <v>25</v>
          </cell>
          <cell r="DA290">
            <v>0</v>
          </cell>
        </row>
        <row r="291">
          <cell r="B291" t="str">
            <v>P4022</v>
          </cell>
          <cell r="C291" t="str">
            <v>Pure Milk 牛奶</v>
          </cell>
          <cell r="D291" t="str">
            <v>Malaysia</v>
          </cell>
          <cell r="E291" t="str">
            <v>Cowhead</v>
          </cell>
          <cell r="F291" t="str">
            <v>1Lt x 12 Pkt/Ctn</v>
          </cell>
          <cell r="G291" t="str">
            <v>CTN</v>
          </cell>
          <cell r="H291">
            <v>22.8</v>
          </cell>
          <cell r="I291">
            <v>25</v>
          </cell>
          <cell r="AF291">
            <v>22.8</v>
          </cell>
          <cell r="DA291">
            <v>0</v>
          </cell>
        </row>
        <row r="292">
          <cell r="B292" t="str">
            <v>P4023</v>
          </cell>
          <cell r="C292" t="str">
            <v>Carnation Milk淡奶水</v>
          </cell>
          <cell r="E292" t="str">
            <v>King &amp; King</v>
          </cell>
          <cell r="F292" t="str">
            <v>48 can/Box</v>
          </cell>
          <cell r="G292" t="str">
            <v>CTN</v>
          </cell>
          <cell r="R292">
            <v>66</v>
          </cell>
          <cell r="BI292">
            <v>66</v>
          </cell>
          <cell r="DA292">
            <v>0</v>
          </cell>
        </row>
        <row r="293">
          <cell r="B293" t="str">
            <v>P4024</v>
          </cell>
          <cell r="C293" t="str">
            <v>GingKo Nut白果罐</v>
          </cell>
          <cell r="D293" t="str">
            <v>China</v>
          </cell>
          <cell r="E293" t="str">
            <v>MiLi</v>
          </cell>
          <cell r="F293" t="str">
            <v>(397gm x 24)/箱</v>
          </cell>
          <cell r="G293" t="str">
            <v>Ctn</v>
          </cell>
          <cell r="H293">
            <v>21</v>
          </cell>
          <cell r="I293">
            <v>30</v>
          </cell>
          <cell r="J293">
            <v>32</v>
          </cell>
          <cell r="L293">
            <v>32</v>
          </cell>
          <cell r="P293">
            <v>30</v>
          </cell>
          <cell r="Q293">
            <v>32</v>
          </cell>
          <cell r="R293">
            <v>30</v>
          </cell>
          <cell r="S293">
            <v>32</v>
          </cell>
          <cell r="AF293">
            <v>32</v>
          </cell>
          <cell r="AK293">
            <v>32</v>
          </cell>
          <cell r="AM293">
            <v>32</v>
          </cell>
          <cell r="AO293">
            <v>32</v>
          </cell>
          <cell r="AP293">
            <v>32</v>
          </cell>
          <cell r="AR293">
            <v>32</v>
          </cell>
          <cell r="AT293">
            <v>32</v>
          </cell>
          <cell r="AU293">
            <v>32</v>
          </cell>
          <cell r="AV293">
            <v>32</v>
          </cell>
          <cell r="AW293">
            <v>32</v>
          </cell>
          <cell r="AX293">
            <v>32</v>
          </cell>
          <cell r="AY293">
            <v>32</v>
          </cell>
          <cell r="AZ293">
            <v>32</v>
          </cell>
          <cell r="BA293">
            <v>32</v>
          </cell>
          <cell r="BC293">
            <v>32</v>
          </cell>
          <cell r="BX293">
            <v>32</v>
          </cell>
          <cell r="BZ293">
            <v>32</v>
          </cell>
          <cell r="DA293">
            <v>21</v>
          </cell>
        </row>
        <row r="294">
          <cell r="B294" t="str">
            <v>P4025</v>
          </cell>
          <cell r="C294" t="str">
            <v>Peach 桃畔</v>
          </cell>
          <cell r="D294" t="str">
            <v>China</v>
          </cell>
          <cell r="E294" t="str">
            <v>Royal M</v>
          </cell>
          <cell r="F294" t="str">
            <v>12can/箱</v>
          </cell>
          <cell r="G294" t="str">
            <v>CTN</v>
          </cell>
          <cell r="H294">
            <v>21</v>
          </cell>
          <cell r="I294">
            <v>24</v>
          </cell>
          <cell r="J294">
            <v>24</v>
          </cell>
          <cell r="P294">
            <v>24</v>
          </cell>
          <cell r="Q294">
            <v>24</v>
          </cell>
          <cell r="R294">
            <v>24</v>
          </cell>
          <cell r="AC294">
            <v>24</v>
          </cell>
          <cell r="AP294">
            <v>24</v>
          </cell>
          <cell r="AQ294">
            <v>24</v>
          </cell>
          <cell r="AR294">
            <v>24</v>
          </cell>
          <cell r="AT294">
            <v>24</v>
          </cell>
          <cell r="AU294">
            <v>24</v>
          </cell>
          <cell r="AV294">
            <v>24</v>
          </cell>
          <cell r="AW294">
            <v>24</v>
          </cell>
          <cell r="AX294">
            <v>24</v>
          </cell>
          <cell r="AY294">
            <v>24</v>
          </cell>
          <cell r="AZ294">
            <v>24</v>
          </cell>
          <cell r="BA294">
            <v>24</v>
          </cell>
          <cell r="BC294">
            <v>24</v>
          </cell>
          <cell r="DA294">
            <v>17</v>
          </cell>
        </row>
        <row r="295">
          <cell r="B295" t="str">
            <v>P4026</v>
          </cell>
          <cell r="C295" t="str">
            <v>Peaches Halves 桃畔</v>
          </cell>
          <cell r="D295" t="str">
            <v>South Africa</v>
          </cell>
          <cell r="E295" t="str">
            <v>Hosen</v>
          </cell>
          <cell r="F295" t="str">
            <v>12can x 825G/Carton</v>
          </cell>
          <cell r="G295" t="str">
            <v>CTN</v>
          </cell>
          <cell r="H295">
            <v>31.2</v>
          </cell>
          <cell r="AA295">
            <v>41</v>
          </cell>
          <cell r="DA295">
            <v>31.2</v>
          </cell>
        </row>
        <row r="296">
          <cell r="B296" t="str">
            <v>P4027</v>
          </cell>
          <cell r="C296" t="str">
            <v>Water Chestnut 马蹄 - Can</v>
          </cell>
          <cell r="D296" t="str">
            <v>China</v>
          </cell>
          <cell r="E296" t="str">
            <v>MiLi</v>
          </cell>
          <cell r="F296" t="str">
            <v>(567gm x 24)/箱</v>
          </cell>
          <cell r="G296" t="str">
            <v>CTN</v>
          </cell>
          <cell r="H296">
            <v>34</v>
          </cell>
          <cell r="I296">
            <v>34</v>
          </cell>
          <cell r="N296">
            <v>38</v>
          </cell>
          <cell r="O296">
            <v>38</v>
          </cell>
          <cell r="P296">
            <v>38</v>
          </cell>
          <cell r="R296">
            <v>38</v>
          </cell>
          <cell r="DA296">
            <v>34</v>
          </cell>
        </row>
        <row r="297">
          <cell r="B297" t="str">
            <v>P4028</v>
          </cell>
          <cell r="C297" t="str">
            <v>Butter 牛油</v>
          </cell>
          <cell r="E297" t="str">
            <v>-</v>
          </cell>
          <cell r="F297" t="str">
            <v>1 box</v>
          </cell>
          <cell r="G297" t="str">
            <v>Box</v>
          </cell>
          <cell r="DA297">
            <v>0</v>
          </cell>
        </row>
        <row r="298">
          <cell r="B298" t="str">
            <v>P4029</v>
          </cell>
          <cell r="C298" t="str">
            <v>Baked Beans茄汁豆</v>
          </cell>
          <cell r="E298" t="str">
            <v>Statue</v>
          </cell>
          <cell r="F298" t="str">
            <v>(425gm x 24)/箱</v>
          </cell>
          <cell r="G298" t="str">
            <v>Ctn</v>
          </cell>
          <cell r="DA298">
            <v>16</v>
          </cell>
        </row>
        <row r="299">
          <cell r="B299" t="str">
            <v>P4030</v>
          </cell>
          <cell r="C299" t="str">
            <v>Coconut Milk 椰浆</v>
          </cell>
          <cell r="D299" t="str">
            <v>Indonesia</v>
          </cell>
          <cell r="E299" t="str">
            <v>Kara UHT</v>
          </cell>
          <cell r="F299" t="str">
            <v>(1L x 12bag)/箱</v>
          </cell>
          <cell r="G299" t="str">
            <v>Ctn</v>
          </cell>
          <cell r="H299">
            <v>41</v>
          </cell>
          <cell r="I299">
            <v>42</v>
          </cell>
          <cell r="J299">
            <v>42</v>
          </cell>
          <cell r="O299">
            <v>41</v>
          </cell>
          <cell r="P299">
            <v>41</v>
          </cell>
          <cell r="Q299">
            <v>41</v>
          </cell>
          <cell r="S299">
            <v>42</v>
          </cell>
          <cell r="V299">
            <v>42</v>
          </cell>
          <cell r="Y299">
            <v>41</v>
          </cell>
          <cell r="Z299">
            <v>41</v>
          </cell>
          <cell r="AC299">
            <v>41</v>
          </cell>
          <cell r="AF299">
            <v>41</v>
          </cell>
          <cell r="AJ299">
            <v>42</v>
          </cell>
          <cell r="AO299">
            <v>42</v>
          </cell>
          <cell r="AP299">
            <v>42</v>
          </cell>
          <cell r="AQ299">
            <v>42</v>
          </cell>
          <cell r="AR299">
            <v>42</v>
          </cell>
          <cell r="AT299">
            <v>42</v>
          </cell>
          <cell r="AU299">
            <v>42</v>
          </cell>
          <cell r="AV299">
            <v>42</v>
          </cell>
          <cell r="AW299">
            <v>42</v>
          </cell>
          <cell r="AX299">
            <v>42</v>
          </cell>
          <cell r="AY299">
            <v>42</v>
          </cell>
          <cell r="AZ299">
            <v>42</v>
          </cell>
          <cell r="BA299">
            <v>42</v>
          </cell>
          <cell r="BC299">
            <v>42</v>
          </cell>
          <cell r="BX299">
            <v>42</v>
          </cell>
          <cell r="BZ299">
            <v>42</v>
          </cell>
          <cell r="DA299">
            <v>35.5</v>
          </cell>
        </row>
        <row r="300">
          <cell r="B300" t="str">
            <v>P4030A</v>
          </cell>
          <cell r="C300" t="str">
            <v>Coconut Milk 椰浆</v>
          </cell>
          <cell r="D300" t="str">
            <v>Indonesia</v>
          </cell>
          <cell r="E300" t="str">
            <v>Kara UHT</v>
          </cell>
          <cell r="F300" t="str">
            <v>(200gm x 30bag)/箱</v>
          </cell>
          <cell r="G300" t="str">
            <v>Ctn</v>
          </cell>
          <cell r="H300">
            <v>22</v>
          </cell>
          <cell r="I300">
            <v>24</v>
          </cell>
          <cell r="U300">
            <v>26</v>
          </cell>
          <cell r="Z300">
            <v>23</v>
          </cell>
          <cell r="AB300">
            <v>23</v>
          </cell>
          <cell r="AC300">
            <v>22</v>
          </cell>
          <cell r="BO300">
            <v>24</v>
          </cell>
          <cell r="BU300">
            <v>23</v>
          </cell>
          <cell r="BY300">
            <v>23</v>
          </cell>
          <cell r="CA300">
            <v>23</v>
          </cell>
          <cell r="DA300">
            <v>20</v>
          </cell>
        </row>
        <row r="301">
          <cell r="B301" t="str">
            <v>P4031</v>
          </cell>
          <cell r="C301" t="str">
            <v>Coconut Milk 椰浆</v>
          </cell>
          <cell r="E301" t="str">
            <v>HENG GUAN</v>
          </cell>
          <cell r="F301" t="str">
            <v>1 Lt</v>
          </cell>
          <cell r="DA301">
            <v>0</v>
          </cell>
        </row>
        <row r="302">
          <cell r="B302" t="str">
            <v>P4032</v>
          </cell>
          <cell r="C302" t="str">
            <v>Coconut Milk 椰浆</v>
          </cell>
          <cell r="D302" t="str">
            <v>Indonesia</v>
          </cell>
          <cell r="E302" t="str">
            <v>Sin-ind</v>
          </cell>
          <cell r="F302" t="str">
            <v>(1L x 12bag)/箱</v>
          </cell>
          <cell r="G302" t="str">
            <v>Ctn</v>
          </cell>
          <cell r="H302">
            <v>38</v>
          </cell>
          <cell r="I302">
            <v>40</v>
          </cell>
          <cell r="O302">
            <v>38</v>
          </cell>
          <cell r="AM302">
            <v>38</v>
          </cell>
          <cell r="DA302">
            <v>30.530973451327434</v>
          </cell>
        </row>
        <row r="303">
          <cell r="B303" t="str">
            <v>P4033</v>
          </cell>
          <cell r="C303" t="str">
            <v>Lime Juice 柠檬汁</v>
          </cell>
          <cell r="D303" t="str">
            <v>Malaysia</v>
          </cell>
          <cell r="E303" t="str">
            <v>-</v>
          </cell>
          <cell r="F303" t="str">
            <v>6 BOTTLE</v>
          </cell>
          <cell r="G303" t="str">
            <v>PKT</v>
          </cell>
          <cell r="H303">
            <v>10.8</v>
          </cell>
          <cell r="I303">
            <v>8</v>
          </cell>
          <cell r="L303">
            <v>10.8</v>
          </cell>
          <cell r="R303">
            <v>21</v>
          </cell>
          <cell r="DA303">
            <v>6.2</v>
          </cell>
        </row>
        <row r="304">
          <cell r="B304" t="str">
            <v>P4034</v>
          </cell>
          <cell r="C304" t="str">
            <v>Water Chestnut Juice 马蹄水</v>
          </cell>
          <cell r="D304" t="str">
            <v>Singapore</v>
          </cell>
          <cell r="E304" t="str">
            <v>-</v>
          </cell>
          <cell r="F304" t="str">
            <v>4 lt</v>
          </cell>
          <cell r="G304" t="str">
            <v>Drum</v>
          </cell>
          <cell r="H304">
            <v>20</v>
          </cell>
          <cell r="I304">
            <v>22</v>
          </cell>
          <cell r="DA304">
            <v>27</v>
          </cell>
        </row>
        <row r="305">
          <cell r="B305" t="str">
            <v>P4035</v>
          </cell>
          <cell r="C305" t="str">
            <v>Calamansi Juice 酸柑水</v>
          </cell>
          <cell r="D305" t="str">
            <v>Singapore</v>
          </cell>
          <cell r="E305" t="str">
            <v>-</v>
          </cell>
          <cell r="F305" t="str">
            <v>4 lt</v>
          </cell>
          <cell r="G305" t="str">
            <v>Drum</v>
          </cell>
          <cell r="H305">
            <v>19.470000000000002</v>
          </cell>
          <cell r="I305">
            <v>22</v>
          </cell>
          <cell r="AB305">
            <v>22</v>
          </cell>
          <cell r="BI305">
            <v>21</v>
          </cell>
          <cell r="BZ305">
            <v>22</v>
          </cell>
          <cell r="DA305">
            <v>27</v>
          </cell>
        </row>
        <row r="306">
          <cell r="B306" t="str">
            <v>P4036</v>
          </cell>
          <cell r="C306" t="str">
            <v>Sour Plum Juice 酸梅水</v>
          </cell>
          <cell r="D306" t="str">
            <v>Singapore</v>
          </cell>
          <cell r="E306" t="str">
            <v>-</v>
          </cell>
          <cell r="F306" t="str">
            <v>4 lt</v>
          </cell>
          <cell r="G306" t="str">
            <v>Drum</v>
          </cell>
          <cell r="H306">
            <v>20</v>
          </cell>
          <cell r="I306">
            <v>22</v>
          </cell>
          <cell r="DA306">
            <v>27</v>
          </cell>
        </row>
        <row r="307">
          <cell r="B307" t="str">
            <v>P4037</v>
          </cell>
          <cell r="C307" t="str">
            <v>Rose Juice 玫瑰水</v>
          </cell>
          <cell r="D307" t="str">
            <v>Singapore</v>
          </cell>
          <cell r="E307" t="str">
            <v>-</v>
          </cell>
          <cell r="F307" t="str">
            <v>4 lt</v>
          </cell>
          <cell r="G307" t="str">
            <v>Drum</v>
          </cell>
          <cell r="H307">
            <v>15</v>
          </cell>
          <cell r="I307">
            <v>16</v>
          </cell>
          <cell r="AE307">
            <v>18</v>
          </cell>
          <cell r="BZ307">
            <v>18</v>
          </cell>
          <cell r="DA307">
            <v>13.5</v>
          </cell>
        </row>
        <row r="308">
          <cell r="B308" t="str">
            <v>P4038</v>
          </cell>
          <cell r="C308" t="str">
            <v>Green Apple Juice</v>
          </cell>
          <cell r="D308" t="str">
            <v>Taiwan</v>
          </cell>
          <cell r="E308" t="str">
            <v>-</v>
          </cell>
          <cell r="F308" t="str">
            <v>5 KGS</v>
          </cell>
        </row>
        <row r="309">
          <cell r="B309" t="str">
            <v>P4039</v>
          </cell>
          <cell r="C309" t="str">
            <v>Honey Peach Juice</v>
          </cell>
          <cell r="D309" t="str">
            <v>Taiwan</v>
          </cell>
          <cell r="E309" t="str">
            <v>-</v>
          </cell>
          <cell r="F309" t="str">
            <v>5 KGS</v>
          </cell>
        </row>
        <row r="310">
          <cell r="B310" t="str">
            <v>P4040</v>
          </cell>
          <cell r="C310" t="str">
            <v>Strawberry Juice</v>
          </cell>
          <cell r="E310" t="str">
            <v>-</v>
          </cell>
          <cell r="F310" t="str">
            <v>5 KGS</v>
          </cell>
        </row>
        <row r="311">
          <cell r="B311" t="str">
            <v>P4041</v>
          </cell>
          <cell r="C311" t="str">
            <v>Polar Mineral Water</v>
          </cell>
          <cell r="E311" t="str">
            <v>-</v>
          </cell>
          <cell r="F311" t="str">
            <v>600ML/24BTL</v>
          </cell>
          <cell r="R311">
            <v>6.5</v>
          </cell>
          <cell r="DA311">
            <v>5</v>
          </cell>
        </row>
        <row r="312">
          <cell r="B312" t="str">
            <v>P4042</v>
          </cell>
          <cell r="C312" t="str">
            <v>Mango Juice</v>
          </cell>
          <cell r="E312" t="str">
            <v>-</v>
          </cell>
          <cell r="F312" t="str">
            <v>5 KGS</v>
          </cell>
        </row>
        <row r="313">
          <cell r="B313" t="str">
            <v>P4043</v>
          </cell>
          <cell r="C313" t="str">
            <v>Wheat Grass 小麦草</v>
          </cell>
          <cell r="D313" t="str">
            <v>Malaysia</v>
          </cell>
          <cell r="E313" t="str">
            <v>-</v>
          </cell>
          <cell r="F313" t="str">
            <v>4 lt</v>
          </cell>
          <cell r="AB313">
            <v>22</v>
          </cell>
          <cell r="DA313">
            <v>18</v>
          </cell>
        </row>
        <row r="314">
          <cell r="B314" t="str">
            <v>P4044</v>
          </cell>
          <cell r="C314" t="str">
            <v>Honeydew Premier Concentrated</v>
          </cell>
          <cell r="D314" t="str">
            <v>Taiwan</v>
          </cell>
          <cell r="E314" t="str">
            <v>-</v>
          </cell>
          <cell r="F314" t="str">
            <v>5 KGS</v>
          </cell>
          <cell r="H314">
            <v>17.3</v>
          </cell>
          <cell r="I314">
            <v>23</v>
          </cell>
          <cell r="DA314">
            <v>17.3</v>
          </cell>
        </row>
        <row r="315">
          <cell r="B315" t="str">
            <v>P4045</v>
          </cell>
          <cell r="C315" t="str">
            <v>Honey Longan syrup</v>
          </cell>
          <cell r="D315" t="str">
            <v>Taiwan</v>
          </cell>
          <cell r="E315" t="str">
            <v>-</v>
          </cell>
          <cell r="F315" t="str">
            <v>3 kgs</v>
          </cell>
          <cell r="AD315">
            <v>14.8</v>
          </cell>
          <cell r="BU315">
            <v>18</v>
          </cell>
          <cell r="BY315">
            <v>18</v>
          </cell>
          <cell r="BZ315">
            <v>0</v>
          </cell>
          <cell r="DA315">
            <v>12</v>
          </cell>
        </row>
        <row r="316">
          <cell r="B316" t="str">
            <v>P4046</v>
          </cell>
          <cell r="C316" t="str">
            <v xml:space="preserve">Kidney Beans </v>
          </cell>
          <cell r="D316" t="str">
            <v>-</v>
          </cell>
          <cell r="E316" t="str">
            <v>Hosen</v>
          </cell>
          <cell r="F316" t="str">
            <v>24x 425 gms</v>
          </cell>
          <cell r="G316" t="str">
            <v>Ctn</v>
          </cell>
          <cell r="H316">
            <v>32</v>
          </cell>
          <cell r="BZ316">
            <v>40</v>
          </cell>
          <cell r="DA316">
            <v>32.4</v>
          </cell>
        </row>
        <row r="317">
          <cell r="B317" t="str">
            <v>P4047</v>
          </cell>
          <cell r="C317" t="str">
            <v>Nata De Coco椰果芊 10 x 10MM</v>
          </cell>
          <cell r="D317" t="str">
            <v>Thailand</v>
          </cell>
          <cell r="E317" t="str">
            <v>Golden boy</v>
          </cell>
          <cell r="F317" t="str">
            <v>1 Can X A10</v>
          </cell>
          <cell r="G317" t="str">
            <v>Can</v>
          </cell>
          <cell r="H317">
            <v>23</v>
          </cell>
          <cell r="Q317">
            <v>26</v>
          </cell>
          <cell r="CH317">
            <v>2.79</v>
          </cell>
        </row>
        <row r="318">
          <cell r="B318" t="str">
            <v>P4048</v>
          </cell>
          <cell r="C318" t="str">
            <v>Sea Coconut海底椰</v>
          </cell>
          <cell r="D318" t="str">
            <v>China</v>
          </cell>
          <cell r="E318" t="str">
            <v>Golden boy</v>
          </cell>
          <cell r="F318" t="str">
            <v>A10 x 6</v>
          </cell>
          <cell r="G318" t="str">
            <v>Box</v>
          </cell>
          <cell r="H318">
            <v>82</v>
          </cell>
          <cell r="DA318">
            <v>82</v>
          </cell>
        </row>
        <row r="319">
          <cell r="B319" t="str">
            <v>P4048A</v>
          </cell>
          <cell r="C319" t="str">
            <v>Sea Coconut海底椰</v>
          </cell>
          <cell r="D319" t="str">
            <v>China</v>
          </cell>
          <cell r="E319" t="str">
            <v>Golden boy</v>
          </cell>
          <cell r="F319" t="str">
            <v>A10 x 1</v>
          </cell>
          <cell r="G319" t="str">
            <v>Can</v>
          </cell>
          <cell r="H319">
            <v>13.666666666666666</v>
          </cell>
          <cell r="DA319">
            <v>13.666666666666666</v>
          </cell>
        </row>
        <row r="320">
          <cell r="B320" t="str">
            <v>P4049</v>
          </cell>
          <cell r="C320" t="str">
            <v>Fruit Cocktail杂果</v>
          </cell>
          <cell r="D320" t="str">
            <v>Thailand</v>
          </cell>
          <cell r="E320" t="str">
            <v>Hosen</v>
          </cell>
          <cell r="F320" t="str">
            <v>(836gm x 12)/箱</v>
          </cell>
          <cell r="G320" t="str">
            <v>CTN</v>
          </cell>
          <cell r="H320">
            <v>18</v>
          </cell>
          <cell r="J320">
            <v>25</v>
          </cell>
          <cell r="N320">
            <v>23</v>
          </cell>
          <cell r="U320">
            <v>26</v>
          </cell>
          <cell r="AO320">
            <v>25</v>
          </cell>
          <cell r="AP320">
            <v>25</v>
          </cell>
          <cell r="AQ320">
            <v>25</v>
          </cell>
          <cell r="AR320">
            <v>25</v>
          </cell>
          <cell r="AS320">
            <v>25</v>
          </cell>
          <cell r="AT320">
            <v>25</v>
          </cell>
          <cell r="AU320">
            <v>25</v>
          </cell>
          <cell r="AV320">
            <v>25</v>
          </cell>
          <cell r="AW320">
            <v>25</v>
          </cell>
          <cell r="AX320">
            <v>25</v>
          </cell>
          <cell r="AY320">
            <v>25</v>
          </cell>
          <cell r="AZ320">
            <v>25</v>
          </cell>
          <cell r="BA320">
            <v>25</v>
          </cell>
          <cell r="BB320">
            <v>25</v>
          </cell>
          <cell r="BC320">
            <v>25</v>
          </cell>
          <cell r="BX320">
            <v>25</v>
          </cell>
          <cell r="DA320">
            <v>18</v>
          </cell>
        </row>
        <row r="321">
          <cell r="B321" t="str">
            <v>P4050</v>
          </cell>
          <cell r="C321" t="str">
            <v>Water Chestnut 马蹄 - Can</v>
          </cell>
          <cell r="D321" t="str">
            <v>China</v>
          </cell>
          <cell r="E321" t="str">
            <v>GOLDEN CHAMP</v>
          </cell>
          <cell r="F321" t="str">
            <v>(567gm x 24)/箱</v>
          </cell>
          <cell r="G321" t="str">
            <v>CTN</v>
          </cell>
          <cell r="H321">
            <v>28</v>
          </cell>
          <cell r="I321">
            <v>34</v>
          </cell>
          <cell r="J321">
            <v>34</v>
          </cell>
          <cell r="AC321">
            <v>34</v>
          </cell>
          <cell r="AJ321">
            <v>32</v>
          </cell>
          <cell r="AO321">
            <v>34</v>
          </cell>
          <cell r="AP321">
            <v>34</v>
          </cell>
          <cell r="AQ321">
            <v>34</v>
          </cell>
          <cell r="AR321">
            <v>34</v>
          </cell>
          <cell r="AS321">
            <v>34</v>
          </cell>
          <cell r="AT321">
            <v>34</v>
          </cell>
          <cell r="AU321">
            <v>34</v>
          </cell>
          <cell r="AV321">
            <v>34</v>
          </cell>
          <cell r="AW321">
            <v>34</v>
          </cell>
          <cell r="AX321">
            <v>34</v>
          </cell>
          <cell r="AY321">
            <v>34</v>
          </cell>
          <cell r="AZ321">
            <v>34</v>
          </cell>
          <cell r="BA321">
            <v>34</v>
          </cell>
          <cell r="BB321">
            <v>34</v>
          </cell>
          <cell r="BC321">
            <v>34</v>
          </cell>
          <cell r="BX321">
            <v>34</v>
          </cell>
          <cell r="DA321">
            <v>28</v>
          </cell>
        </row>
        <row r="322">
          <cell r="B322" t="str">
            <v>P4051</v>
          </cell>
          <cell r="C322" t="str">
            <v>Longan in Syrup龙眼</v>
          </cell>
          <cell r="D322" t="str">
            <v>China</v>
          </cell>
          <cell r="E322" t="str">
            <v>Goldchamp</v>
          </cell>
          <cell r="F322" t="str">
            <v>(565gm x 12)/箱</v>
          </cell>
          <cell r="G322" t="str">
            <v>CTN</v>
          </cell>
          <cell r="M322">
            <v>23</v>
          </cell>
        </row>
        <row r="323">
          <cell r="B323" t="str">
            <v>P4052</v>
          </cell>
          <cell r="C323" t="str">
            <v>Fruit Cocktail杂果</v>
          </cell>
          <cell r="D323" t="str">
            <v>Thailand</v>
          </cell>
          <cell r="E323" t="str">
            <v>GoldenBoy</v>
          </cell>
          <cell r="F323" t="str">
            <v>(820gm x 12)/箱</v>
          </cell>
          <cell r="G323" t="str">
            <v>CTN</v>
          </cell>
          <cell r="N323">
            <v>26</v>
          </cell>
          <cell r="BZ323">
            <v>26</v>
          </cell>
          <cell r="DA323">
            <v>19</v>
          </cell>
        </row>
        <row r="324">
          <cell r="B324" t="str">
            <v>P4053</v>
          </cell>
          <cell r="C324" t="str">
            <v>PEANUT BUTTER</v>
          </cell>
          <cell r="F324" t="str">
            <v>3 KGS</v>
          </cell>
        </row>
        <row r="325">
          <cell r="B325" t="str">
            <v>P4054</v>
          </cell>
          <cell r="C325" t="str">
            <v>Peach 桃畔</v>
          </cell>
          <cell r="D325" t="str">
            <v>Thailand</v>
          </cell>
          <cell r="E325" t="str">
            <v>MILI</v>
          </cell>
          <cell r="F325" t="str">
            <v>12can/箱</v>
          </cell>
          <cell r="G325" t="str">
            <v>CTN</v>
          </cell>
        </row>
        <row r="326">
          <cell r="B326" t="str">
            <v>P4055</v>
          </cell>
          <cell r="C326" t="str">
            <v>CORN CREAM</v>
          </cell>
          <cell r="D326" t="str">
            <v>China</v>
          </cell>
          <cell r="E326" t="str">
            <v>GOLDEN BOY</v>
          </cell>
          <cell r="F326" t="str">
            <v>24 CAN/CARTON</v>
          </cell>
          <cell r="G326" t="str">
            <v>CTN</v>
          </cell>
          <cell r="DA326">
            <v>19</v>
          </cell>
        </row>
        <row r="327">
          <cell r="B327" t="str">
            <v>P4055A</v>
          </cell>
          <cell r="C327" t="str">
            <v>CORN CREAM</v>
          </cell>
          <cell r="D327" t="str">
            <v>China</v>
          </cell>
          <cell r="E327" t="str">
            <v>GOLDEN BOY</v>
          </cell>
          <cell r="F327" t="str">
            <v>1 CAN</v>
          </cell>
          <cell r="G327" t="str">
            <v>CAN</v>
          </cell>
        </row>
        <row r="328">
          <cell r="B328" t="str">
            <v>P4056</v>
          </cell>
          <cell r="C328" t="str">
            <v>CORN WHOLE</v>
          </cell>
          <cell r="D328" t="str">
            <v>China</v>
          </cell>
          <cell r="E328" t="str">
            <v>GOLDEN BOY</v>
          </cell>
          <cell r="F328" t="str">
            <v>24 CAN/CARTON</v>
          </cell>
          <cell r="G328" t="str">
            <v>CTN</v>
          </cell>
          <cell r="P328">
            <v>23</v>
          </cell>
          <cell r="U328">
            <v>25</v>
          </cell>
          <cell r="AC328">
            <v>23</v>
          </cell>
          <cell r="DA328">
            <v>18</v>
          </cell>
        </row>
        <row r="329">
          <cell r="B329" t="str">
            <v>P4056A</v>
          </cell>
          <cell r="C329" t="str">
            <v>CORN WHOLE</v>
          </cell>
          <cell r="D329" t="str">
            <v>China</v>
          </cell>
          <cell r="E329" t="str">
            <v>GOLDEN BOY</v>
          </cell>
          <cell r="F329" t="str">
            <v>1 CAN</v>
          </cell>
          <cell r="G329" t="str">
            <v>CTN</v>
          </cell>
        </row>
        <row r="330">
          <cell r="B330" t="str">
            <v>P4057</v>
          </cell>
          <cell r="C330" t="str">
            <v>PINEAPPLE IN CUBES</v>
          </cell>
          <cell r="D330" t="str">
            <v>Thailand</v>
          </cell>
          <cell r="E330" t="str">
            <v>STATUE</v>
          </cell>
          <cell r="F330" t="str">
            <v>24 CAN/CARTON</v>
          </cell>
          <cell r="G330" t="str">
            <v>CTN</v>
          </cell>
        </row>
        <row r="331">
          <cell r="B331" t="str">
            <v>P4058</v>
          </cell>
          <cell r="C331" t="str">
            <v>Peaches SLICED 桃畔</v>
          </cell>
          <cell r="E331" t="str">
            <v>Hosen</v>
          </cell>
          <cell r="F331" t="str">
            <v>12can x 825G/Carton</v>
          </cell>
          <cell r="G331" t="str">
            <v>CTN</v>
          </cell>
          <cell r="H331">
            <v>31.2</v>
          </cell>
          <cell r="DA331">
            <v>31.2</v>
          </cell>
        </row>
        <row r="332">
          <cell r="B332" t="str">
            <v>P5001</v>
          </cell>
          <cell r="C332" t="str">
            <v>Rock Sugar冰糖</v>
          </cell>
          <cell r="D332" t="str">
            <v>Thailand</v>
          </cell>
          <cell r="E332" t="str">
            <v>-</v>
          </cell>
          <cell r="F332" t="str">
            <v>3 KGS X 6 PKTS</v>
          </cell>
          <cell r="G332" t="str">
            <v>CTN</v>
          </cell>
          <cell r="DA332">
            <v>28</v>
          </cell>
        </row>
        <row r="333">
          <cell r="B333" t="str">
            <v>P5001A</v>
          </cell>
          <cell r="C333" t="str">
            <v>Rock Sugar冰糖</v>
          </cell>
          <cell r="D333" t="str">
            <v>Thailand</v>
          </cell>
          <cell r="E333" t="str">
            <v>-</v>
          </cell>
          <cell r="F333" t="str">
            <v>3 KGS/PKT</v>
          </cell>
          <cell r="G333" t="str">
            <v>Pkt</v>
          </cell>
          <cell r="H333">
            <v>6</v>
          </cell>
          <cell r="I333">
            <v>6</v>
          </cell>
          <cell r="J333">
            <v>6.5</v>
          </cell>
          <cell r="L333">
            <v>0</v>
          </cell>
          <cell r="N333">
            <v>7</v>
          </cell>
          <cell r="O333">
            <v>7</v>
          </cell>
          <cell r="P333">
            <v>7</v>
          </cell>
          <cell r="Q333">
            <v>7</v>
          </cell>
          <cell r="R333">
            <v>7</v>
          </cell>
          <cell r="S333">
            <v>7</v>
          </cell>
          <cell r="V333">
            <v>7</v>
          </cell>
          <cell r="AC333">
            <v>7</v>
          </cell>
          <cell r="AF333">
            <v>7</v>
          </cell>
          <cell r="AP333">
            <v>6.5</v>
          </cell>
          <cell r="AQ333">
            <v>6.5</v>
          </cell>
          <cell r="AR333">
            <v>6.5</v>
          </cell>
          <cell r="AT333">
            <v>6.5</v>
          </cell>
          <cell r="AU333">
            <v>6.5</v>
          </cell>
          <cell r="AV333">
            <v>6.5</v>
          </cell>
          <cell r="AW333">
            <v>6.5</v>
          </cell>
          <cell r="AX333">
            <v>6.5</v>
          </cell>
          <cell r="AY333">
            <v>6.5</v>
          </cell>
          <cell r="AZ333">
            <v>6.5</v>
          </cell>
          <cell r="BA333">
            <v>6.5</v>
          </cell>
          <cell r="BC333">
            <v>6.5</v>
          </cell>
          <cell r="BU333">
            <v>7</v>
          </cell>
          <cell r="BX333">
            <v>6.5</v>
          </cell>
          <cell r="DA333">
            <v>4.666666666666667</v>
          </cell>
        </row>
        <row r="334">
          <cell r="B334" t="str">
            <v>P5002</v>
          </cell>
          <cell r="C334" t="str">
            <v>Brown Sugar 黑糖</v>
          </cell>
          <cell r="D334" t="str">
            <v>Thailand</v>
          </cell>
          <cell r="E334" t="str">
            <v>Star</v>
          </cell>
          <cell r="F334" t="str">
            <v>6 kgs X 6 PKTS</v>
          </cell>
          <cell r="G334" t="str">
            <v>Bag</v>
          </cell>
          <cell r="DA334">
            <v>63</v>
          </cell>
        </row>
        <row r="335">
          <cell r="B335" t="str">
            <v>P5002A</v>
          </cell>
          <cell r="C335" t="str">
            <v>Brown Sugar 黑糖</v>
          </cell>
          <cell r="D335" t="str">
            <v>Thailand</v>
          </cell>
          <cell r="E335" t="str">
            <v>Star</v>
          </cell>
          <cell r="F335" t="str">
            <v>6 kgs</v>
          </cell>
          <cell r="G335" t="str">
            <v>Bag</v>
          </cell>
          <cell r="H335">
            <v>13</v>
          </cell>
          <cell r="K335">
            <v>16.5</v>
          </cell>
          <cell r="L335">
            <v>16.5</v>
          </cell>
          <cell r="N335">
            <v>16.5</v>
          </cell>
          <cell r="O335">
            <v>16.5</v>
          </cell>
          <cell r="P335">
            <v>16.5</v>
          </cell>
          <cell r="Q335">
            <v>16.5</v>
          </cell>
          <cell r="R335">
            <v>16.5</v>
          </cell>
          <cell r="S335">
            <v>16.5</v>
          </cell>
          <cell r="V335">
            <v>17</v>
          </cell>
          <cell r="Y335">
            <v>17</v>
          </cell>
          <cell r="AC335">
            <v>16.5</v>
          </cell>
          <cell r="AF335">
            <v>16.5</v>
          </cell>
          <cell r="BU335">
            <v>16.5</v>
          </cell>
          <cell r="BX335">
            <v>0</v>
          </cell>
          <cell r="BZ335">
            <v>16.5</v>
          </cell>
          <cell r="DA335">
            <v>10.5</v>
          </cell>
        </row>
        <row r="336">
          <cell r="B336" t="str">
            <v>P5002B</v>
          </cell>
          <cell r="C336" t="str">
            <v>Brown Sugar 黑糖</v>
          </cell>
          <cell r="D336" t="str">
            <v>Thailand</v>
          </cell>
          <cell r="E336" t="str">
            <v>Thailand</v>
          </cell>
          <cell r="F336" t="str">
            <v>6 kgs</v>
          </cell>
          <cell r="G336" t="str">
            <v>Bag</v>
          </cell>
          <cell r="H336">
            <v>13</v>
          </cell>
          <cell r="I336">
            <v>13</v>
          </cell>
          <cell r="J336">
            <v>15</v>
          </cell>
          <cell r="AP336">
            <v>15</v>
          </cell>
          <cell r="AQ336">
            <v>15</v>
          </cell>
          <cell r="AR336">
            <v>15</v>
          </cell>
          <cell r="AT336">
            <v>15</v>
          </cell>
          <cell r="AU336">
            <v>15</v>
          </cell>
          <cell r="AV336">
            <v>15</v>
          </cell>
          <cell r="AW336">
            <v>15</v>
          </cell>
          <cell r="AX336">
            <v>15</v>
          </cell>
          <cell r="AY336">
            <v>15</v>
          </cell>
          <cell r="AZ336">
            <v>15</v>
          </cell>
          <cell r="BA336">
            <v>15</v>
          </cell>
          <cell r="BC336">
            <v>15</v>
          </cell>
          <cell r="BX336">
            <v>15</v>
          </cell>
          <cell r="DA336">
            <v>11.2</v>
          </cell>
        </row>
        <row r="337">
          <cell r="B337" t="str">
            <v>P5003</v>
          </cell>
          <cell r="C337" t="str">
            <v>Red Sugar 赤糖</v>
          </cell>
          <cell r="D337" t="str">
            <v>Thailand</v>
          </cell>
          <cell r="E337" t="str">
            <v>Star</v>
          </cell>
          <cell r="F337" t="str">
            <v>6 kgs X 6 PKTS</v>
          </cell>
          <cell r="G337" t="str">
            <v>Bag</v>
          </cell>
          <cell r="DA337">
            <v>63</v>
          </cell>
        </row>
        <row r="338">
          <cell r="B338" t="str">
            <v>P5003A</v>
          </cell>
          <cell r="C338" t="str">
            <v>Red Sugar 赤糖</v>
          </cell>
          <cell r="D338" t="str">
            <v>Thailand</v>
          </cell>
          <cell r="E338" t="str">
            <v>Star</v>
          </cell>
          <cell r="F338" t="str">
            <v>6 kgs</v>
          </cell>
          <cell r="G338" t="str">
            <v>Bag</v>
          </cell>
          <cell r="H338">
            <v>13</v>
          </cell>
          <cell r="I338">
            <v>13</v>
          </cell>
          <cell r="J338">
            <v>16.5</v>
          </cell>
          <cell r="K338">
            <v>13</v>
          </cell>
          <cell r="L338">
            <v>13</v>
          </cell>
          <cell r="N338">
            <v>16.5</v>
          </cell>
          <cell r="O338">
            <v>16.5</v>
          </cell>
          <cell r="P338">
            <v>16.5</v>
          </cell>
          <cell r="Q338">
            <v>16.5</v>
          </cell>
          <cell r="R338">
            <v>16.5</v>
          </cell>
          <cell r="S338">
            <v>16.5</v>
          </cell>
          <cell r="V338">
            <v>16.5</v>
          </cell>
          <cell r="AC338">
            <v>16.5</v>
          </cell>
          <cell r="AG338">
            <v>16.5</v>
          </cell>
          <cell r="AP338">
            <v>16.5</v>
          </cell>
          <cell r="AQ338">
            <v>16.5</v>
          </cell>
          <cell r="AR338">
            <v>16.5</v>
          </cell>
          <cell r="AT338">
            <v>16.5</v>
          </cell>
          <cell r="AU338">
            <v>16.5</v>
          </cell>
          <cell r="AV338">
            <v>16.5</v>
          </cell>
          <cell r="AW338">
            <v>16.5</v>
          </cell>
          <cell r="AX338">
            <v>16.5</v>
          </cell>
          <cell r="AY338">
            <v>16.5</v>
          </cell>
          <cell r="AZ338">
            <v>16.5</v>
          </cell>
          <cell r="BA338">
            <v>16.5</v>
          </cell>
          <cell r="BC338">
            <v>16.5</v>
          </cell>
          <cell r="BX338">
            <v>16.5</v>
          </cell>
          <cell r="BZ338">
            <v>16.5</v>
          </cell>
          <cell r="DA338">
            <v>10.5</v>
          </cell>
        </row>
        <row r="339">
          <cell r="B339" t="str">
            <v>P5003B</v>
          </cell>
          <cell r="C339" t="str">
            <v>Red Sugar 赤糖</v>
          </cell>
          <cell r="D339" t="str">
            <v>Thailand</v>
          </cell>
          <cell r="E339" t="str">
            <v>Star</v>
          </cell>
          <cell r="F339" t="str">
            <v>6 kgs</v>
          </cell>
          <cell r="G339" t="str">
            <v>Bag</v>
          </cell>
          <cell r="I339">
            <v>13</v>
          </cell>
        </row>
        <row r="340">
          <cell r="B340" t="str">
            <v>P5003C</v>
          </cell>
          <cell r="C340" t="str">
            <v>Red Sugar 赤糖</v>
          </cell>
          <cell r="D340" t="str">
            <v>Thailand</v>
          </cell>
          <cell r="E340" t="str">
            <v>Star</v>
          </cell>
          <cell r="F340" t="str">
            <v>3 kgs</v>
          </cell>
          <cell r="G340" t="str">
            <v>Bag</v>
          </cell>
          <cell r="N340">
            <v>8.5</v>
          </cell>
        </row>
        <row r="341">
          <cell r="B341" t="str">
            <v>P5004</v>
          </cell>
          <cell r="C341" t="str">
            <v>Fine Sugar 白糖</v>
          </cell>
          <cell r="D341" t="str">
            <v>Thailand</v>
          </cell>
          <cell r="E341" t="str">
            <v>MITRPHOL</v>
          </cell>
          <cell r="F341" t="str">
            <v>25 KGS</v>
          </cell>
          <cell r="G341" t="str">
            <v>BAG</v>
          </cell>
          <cell r="L341">
            <v>29</v>
          </cell>
          <cell r="M341">
            <v>29</v>
          </cell>
          <cell r="N341">
            <v>29</v>
          </cell>
          <cell r="P341">
            <v>30</v>
          </cell>
          <cell r="Z341">
            <v>29</v>
          </cell>
          <cell r="AC341">
            <v>30</v>
          </cell>
          <cell r="AF341">
            <v>29</v>
          </cell>
          <cell r="AM341">
            <v>29</v>
          </cell>
          <cell r="BT341">
            <v>24.5</v>
          </cell>
          <cell r="BU341">
            <v>30</v>
          </cell>
          <cell r="DA341">
            <v>24</v>
          </cell>
        </row>
        <row r="342">
          <cell r="B342" t="str">
            <v>P5005</v>
          </cell>
          <cell r="C342" t="str">
            <v>Fine Sugar 白糖</v>
          </cell>
          <cell r="D342" t="str">
            <v>Thailand</v>
          </cell>
          <cell r="E342" t="str">
            <v>SUN</v>
          </cell>
          <cell r="F342" t="str">
            <v>25 KGS</v>
          </cell>
          <cell r="G342" t="str">
            <v>BAG</v>
          </cell>
          <cell r="O342">
            <v>29</v>
          </cell>
          <cell r="R342">
            <v>29</v>
          </cell>
          <cell r="AE342">
            <v>29</v>
          </cell>
          <cell r="AF342">
            <v>28</v>
          </cell>
          <cell r="AM342">
            <v>28</v>
          </cell>
          <cell r="BZ342">
            <v>29</v>
          </cell>
          <cell r="DA342">
            <v>22.8</v>
          </cell>
        </row>
        <row r="343">
          <cell r="B343" t="str">
            <v>P5005A</v>
          </cell>
          <cell r="C343" t="str">
            <v>Fine Sugar 白糖</v>
          </cell>
          <cell r="D343" t="str">
            <v>Thailand</v>
          </cell>
          <cell r="E343" t="str">
            <v>SUN</v>
          </cell>
          <cell r="F343" t="str">
            <v>5 kgs</v>
          </cell>
          <cell r="G343" t="str">
            <v>Bag</v>
          </cell>
          <cell r="H343">
            <v>3.7</v>
          </cell>
          <cell r="I343">
            <v>5.2</v>
          </cell>
          <cell r="L343">
            <v>6</v>
          </cell>
          <cell r="M343">
            <v>6</v>
          </cell>
          <cell r="AB343">
            <v>5.9</v>
          </cell>
          <cell r="AC343">
            <v>6</v>
          </cell>
          <cell r="BG343">
            <v>6</v>
          </cell>
          <cell r="BY343">
            <v>6.5</v>
          </cell>
          <cell r="DA343">
            <v>4.8</v>
          </cell>
        </row>
        <row r="344">
          <cell r="B344" t="str">
            <v>P5005B</v>
          </cell>
          <cell r="C344" t="str">
            <v>Fine Sugar 白糖</v>
          </cell>
          <cell r="E344" t="str">
            <v>-</v>
          </cell>
          <cell r="F344" t="str">
            <v>2 kgs</v>
          </cell>
          <cell r="G344" t="str">
            <v>Bag</v>
          </cell>
          <cell r="BY344">
            <v>2.2000000000000002</v>
          </cell>
          <cell r="CB344">
            <v>2.2000000000000002</v>
          </cell>
          <cell r="DA344">
            <v>1.92</v>
          </cell>
        </row>
        <row r="345">
          <cell r="B345" t="str">
            <v>P5005C</v>
          </cell>
          <cell r="C345" t="str">
            <v>Fine Sugar 白糖</v>
          </cell>
          <cell r="E345" t="str">
            <v>-</v>
          </cell>
          <cell r="F345" t="str">
            <v>1 KG</v>
          </cell>
          <cell r="DA345">
            <v>0.96</v>
          </cell>
        </row>
        <row r="346">
          <cell r="B346" t="str">
            <v>P5006</v>
          </cell>
          <cell r="C346" t="str">
            <v>Coconut Sugar椰糖</v>
          </cell>
          <cell r="D346" t="str">
            <v>Malaysia</v>
          </cell>
          <cell r="E346" t="str">
            <v>Malaysia</v>
          </cell>
          <cell r="F346" t="str">
            <v>10kgs/ctn</v>
          </cell>
          <cell r="G346" t="str">
            <v>CTN</v>
          </cell>
          <cell r="H346">
            <v>16</v>
          </cell>
          <cell r="AE346">
            <v>26</v>
          </cell>
          <cell r="DA346">
            <v>16</v>
          </cell>
        </row>
        <row r="347">
          <cell r="B347" t="str">
            <v>P5007</v>
          </cell>
          <cell r="C347" t="str">
            <v>Coconut Sugar椰糖</v>
          </cell>
          <cell r="D347" t="str">
            <v>Indonesia</v>
          </cell>
          <cell r="E347" t="str">
            <v>2P</v>
          </cell>
          <cell r="F347" t="str">
            <v>10kgs/ctn</v>
          </cell>
          <cell r="G347" t="str">
            <v>CTN</v>
          </cell>
          <cell r="H347">
            <v>34</v>
          </cell>
          <cell r="I347">
            <v>36</v>
          </cell>
          <cell r="L347">
            <v>36</v>
          </cell>
          <cell r="N347">
            <v>36</v>
          </cell>
          <cell r="O347">
            <v>36</v>
          </cell>
          <cell r="U347">
            <v>36</v>
          </cell>
          <cell r="Z347">
            <v>35</v>
          </cell>
          <cell r="AC347">
            <v>36</v>
          </cell>
          <cell r="AE347">
            <v>36</v>
          </cell>
          <cell r="BO347">
            <v>36</v>
          </cell>
          <cell r="DA347">
            <v>31</v>
          </cell>
        </row>
        <row r="348">
          <cell r="B348" t="str">
            <v>P5007A</v>
          </cell>
          <cell r="C348" t="str">
            <v>Coconut Sugar椰糖</v>
          </cell>
          <cell r="D348" t="str">
            <v>Indonesia</v>
          </cell>
          <cell r="E348" t="str">
            <v>2P</v>
          </cell>
          <cell r="F348" t="str">
            <v>500 GM</v>
          </cell>
          <cell r="G348" t="str">
            <v>PKT</v>
          </cell>
          <cell r="DA348">
            <v>1.55</v>
          </cell>
        </row>
        <row r="349">
          <cell r="B349" t="str">
            <v>P5008</v>
          </cell>
          <cell r="C349" t="str">
            <v>Coconut Sugar椰糖</v>
          </cell>
          <cell r="D349" t="str">
            <v>Indonesia</v>
          </cell>
          <cell r="E349" t="str">
            <v>BL BRAND</v>
          </cell>
          <cell r="F349" t="str">
            <v>10kgs/ctn</v>
          </cell>
          <cell r="G349" t="str">
            <v>CTN</v>
          </cell>
          <cell r="H349">
            <v>30</v>
          </cell>
          <cell r="I349">
            <v>32</v>
          </cell>
          <cell r="N349">
            <v>32</v>
          </cell>
          <cell r="AE349">
            <v>34</v>
          </cell>
          <cell r="AF349">
            <v>32</v>
          </cell>
          <cell r="BZ349">
            <v>0</v>
          </cell>
          <cell r="DA349">
            <v>28</v>
          </cell>
        </row>
        <row r="350">
          <cell r="B350" t="str">
            <v>P5009</v>
          </cell>
          <cell r="C350" t="str">
            <v>Coconut Sugar椰糖</v>
          </cell>
          <cell r="D350" t="str">
            <v>Indonesia</v>
          </cell>
          <cell r="E350" t="str">
            <v>Indonesia</v>
          </cell>
          <cell r="F350" t="str">
            <v>10kgs/ctn</v>
          </cell>
          <cell r="G350" t="str">
            <v>CTN</v>
          </cell>
          <cell r="H350">
            <v>30</v>
          </cell>
          <cell r="O350">
            <v>31</v>
          </cell>
          <cell r="P350">
            <v>33</v>
          </cell>
          <cell r="R350">
            <v>33</v>
          </cell>
          <cell r="S350">
            <v>36</v>
          </cell>
          <cell r="V350">
            <v>36</v>
          </cell>
          <cell r="AE350">
            <v>33</v>
          </cell>
          <cell r="AG350">
            <v>34</v>
          </cell>
          <cell r="BG350">
            <v>34</v>
          </cell>
          <cell r="DA350">
            <v>28</v>
          </cell>
        </row>
        <row r="351">
          <cell r="B351" t="str">
            <v>P5010</v>
          </cell>
          <cell r="C351" t="str">
            <v>Coconut Sugar椰糖</v>
          </cell>
          <cell r="D351" t="str">
            <v>Indonesia</v>
          </cell>
          <cell r="E351" t="str">
            <v>Sugari</v>
          </cell>
          <cell r="F351" t="str">
            <v>10 kgs/Ctn</v>
          </cell>
          <cell r="G351" t="str">
            <v>CTN</v>
          </cell>
          <cell r="I351">
            <v>36</v>
          </cell>
          <cell r="DA351">
            <v>30</v>
          </cell>
        </row>
        <row r="352">
          <cell r="B352" t="str">
            <v>P5011</v>
          </cell>
          <cell r="C352" t="str">
            <v>Candy Sugar 片糖</v>
          </cell>
          <cell r="D352" t="str">
            <v>China</v>
          </cell>
          <cell r="E352" t="str">
            <v>-</v>
          </cell>
          <cell r="F352" t="str">
            <v>400gms x 50pkt/ctn</v>
          </cell>
          <cell r="G352" t="str">
            <v>Ctn</v>
          </cell>
          <cell r="H352">
            <v>35</v>
          </cell>
          <cell r="I352">
            <v>43</v>
          </cell>
          <cell r="J352">
            <v>42</v>
          </cell>
          <cell r="L352">
            <v>45</v>
          </cell>
          <cell r="N352">
            <v>45</v>
          </cell>
          <cell r="AF352">
            <v>45</v>
          </cell>
          <cell r="AP352">
            <v>42</v>
          </cell>
          <cell r="AQ352">
            <v>42</v>
          </cell>
          <cell r="AR352">
            <v>42</v>
          </cell>
          <cell r="AT352">
            <v>42</v>
          </cell>
          <cell r="AU352">
            <v>42</v>
          </cell>
          <cell r="AV352">
            <v>42</v>
          </cell>
          <cell r="AW352">
            <v>42</v>
          </cell>
          <cell r="AX352">
            <v>42</v>
          </cell>
          <cell r="AY352">
            <v>42</v>
          </cell>
          <cell r="AZ352">
            <v>42</v>
          </cell>
          <cell r="BA352">
            <v>42</v>
          </cell>
          <cell r="BC352">
            <v>42</v>
          </cell>
          <cell r="BO352">
            <v>42</v>
          </cell>
          <cell r="DA352">
            <v>38</v>
          </cell>
        </row>
        <row r="353">
          <cell r="B353" t="str">
            <v>P5011A</v>
          </cell>
          <cell r="C353" t="str">
            <v>Candy Sugar 片糖</v>
          </cell>
          <cell r="D353" t="str">
            <v>China</v>
          </cell>
          <cell r="E353" t="str">
            <v>-</v>
          </cell>
          <cell r="F353" t="str">
            <v>400 GMS</v>
          </cell>
          <cell r="G353" t="str">
            <v>Ctn</v>
          </cell>
          <cell r="H353">
            <v>0.7</v>
          </cell>
          <cell r="DA353">
            <v>0.76</v>
          </cell>
        </row>
        <row r="354">
          <cell r="B354" t="str">
            <v>P5012</v>
          </cell>
          <cell r="C354" t="str">
            <v>Liquid Maltose 麦芽糖</v>
          </cell>
          <cell r="D354" t="str">
            <v>China</v>
          </cell>
          <cell r="E354" t="str">
            <v>FLS</v>
          </cell>
          <cell r="F354" t="str">
            <v>20kgs/1 Tin</v>
          </cell>
          <cell r="G354" t="str">
            <v>Tin</v>
          </cell>
          <cell r="H354">
            <v>35</v>
          </cell>
          <cell r="I354">
            <v>44</v>
          </cell>
          <cell r="K354">
            <v>50</v>
          </cell>
          <cell r="DA354">
            <v>45</v>
          </cell>
        </row>
        <row r="355">
          <cell r="B355" t="str">
            <v>P5012A</v>
          </cell>
          <cell r="C355" t="str">
            <v>Liquid Maltose 麦芽糖</v>
          </cell>
          <cell r="D355" t="str">
            <v>China</v>
          </cell>
          <cell r="E355" t="str">
            <v>FLS</v>
          </cell>
          <cell r="F355" t="str">
            <v>500 GM/CAN</v>
          </cell>
          <cell r="G355" t="str">
            <v>CAN</v>
          </cell>
          <cell r="H355">
            <v>1.2222222222222223</v>
          </cell>
          <cell r="BZ355">
            <v>1.6</v>
          </cell>
        </row>
        <row r="356">
          <cell r="B356" t="str">
            <v>P5013</v>
          </cell>
          <cell r="C356" t="str">
            <v>Coarse Sugar</v>
          </cell>
          <cell r="D356" t="str">
            <v>Thailand</v>
          </cell>
          <cell r="E356" t="str">
            <v>Star</v>
          </cell>
          <cell r="F356" t="str">
            <v>1kg x 12pkt</v>
          </cell>
          <cell r="G356" t="str">
            <v>pkt</v>
          </cell>
        </row>
        <row r="357">
          <cell r="B357" t="str">
            <v>P5014</v>
          </cell>
          <cell r="C357" t="str">
            <v>Small Rock Sugar</v>
          </cell>
          <cell r="D357" t="str">
            <v>Thailand</v>
          </cell>
          <cell r="E357" t="str">
            <v>Star</v>
          </cell>
          <cell r="F357" t="str">
            <v>3 kgs</v>
          </cell>
          <cell r="G357" t="str">
            <v>Pkt</v>
          </cell>
          <cell r="H357">
            <v>4.8</v>
          </cell>
          <cell r="I357">
            <v>7</v>
          </cell>
          <cell r="CE357">
            <v>7</v>
          </cell>
          <cell r="DA357">
            <v>5.0476190476190474</v>
          </cell>
        </row>
        <row r="358">
          <cell r="B358" t="str">
            <v>P6001</v>
          </cell>
          <cell r="C358" t="str">
            <v>Tapioca木薯</v>
          </cell>
          <cell r="D358" t="str">
            <v>Malaysia</v>
          </cell>
          <cell r="E358" t="str">
            <v>Malaysia</v>
          </cell>
          <cell r="F358" t="str">
            <v>1 kg</v>
          </cell>
          <cell r="G358" t="str">
            <v>Bag</v>
          </cell>
          <cell r="H358">
            <v>1.5</v>
          </cell>
          <cell r="I358">
            <v>1.8</v>
          </cell>
          <cell r="J358">
            <v>1.8</v>
          </cell>
          <cell r="L358">
            <v>0</v>
          </cell>
          <cell r="P358">
            <v>2.1</v>
          </cell>
          <cell r="AO358">
            <v>1.8</v>
          </cell>
          <cell r="AP358">
            <v>1.8</v>
          </cell>
          <cell r="AQ358">
            <v>1.8</v>
          </cell>
          <cell r="AR358">
            <v>1.8</v>
          </cell>
          <cell r="AT358">
            <v>1.8</v>
          </cell>
          <cell r="AU358">
            <v>1.8</v>
          </cell>
          <cell r="AV358">
            <v>1.8</v>
          </cell>
          <cell r="AW358">
            <v>1.8</v>
          </cell>
          <cell r="AX358">
            <v>1.8</v>
          </cell>
          <cell r="AY358">
            <v>1.8</v>
          </cell>
          <cell r="AZ358">
            <v>1.8</v>
          </cell>
          <cell r="BA358">
            <v>1.8</v>
          </cell>
          <cell r="BC358">
            <v>1.8</v>
          </cell>
          <cell r="BX358">
            <v>1.8</v>
          </cell>
          <cell r="DA358">
            <v>1</v>
          </cell>
        </row>
        <row r="359">
          <cell r="B359" t="str">
            <v>P6002</v>
          </cell>
          <cell r="C359" t="str">
            <v>Sweet Potato 番薯</v>
          </cell>
          <cell r="D359" t="str">
            <v>Malaysia</v>
          </cell>
          <cell r="E359" t="str">
            <v>Malaysia</v>
          </cell>
          <cell r="F359" t="str">
            <v>1 KG</v>
          </cell>
          <cell r="G359" t="str">
            <v>Bag</v>
          </cell>
          <cell r="H359">
            <v>1.8</v>
          </cell>
          <cell r="I359">
            <v>2.2000000000000002</v>
          </cell>
          <cell r="J359">
            <v>2.5</v>
          </cell>
          <cell r="M359">
            <v>2.5</v>
          </cell>
          <cell r="N359">
            <v>2.5</v>
          </cell>
          <cell r="O359">
            <v>2.5</v>
          </cell>
          <cell r="P359">
            <v>2.5</v>
          </cell>
          <cell r="Q359">
            <v>2.5</v>
          </cell>
          <cell r="S359">
            <v>2.5</v>
          </cell>
          <cell r="U359">
            <v>2.5</v>
          </cell>
          <cell r="V359">
            <v>2.5</v>
          </cell>
          <cell r="AC359">
            <v>2.5</v>
          </cell>
          <cell r="AF359">
            <v>2.5</v>
          </cell>
          <cell r="AJ359">
            <v>2.5</v>
          </cell>
          <cell r="AM359">
            <v>2.5</v>
          </cell>
          <cell r="AP359">
            <v>2.5</v>
          </cell>
          <cell r="AQ359">
            <v>2.5</v>
          </cell>
          <cell r="AR359">
            <v>2.5</v>
          </cell>
          <cell r="AT359">
            <v>2.5</v>
          </cell>
          <cell r="AU359">
            <v>2.5</v>
          </cell>
          <cell r="AV359">
            <v>2.5</v>
          </cell>
          <cell r="AW359">
            <v>2.5</v>
          </cell>
          <cell r="AX359">
            <v>2.5</v>
          </cell>
          <cell r="AY359">
            <v>2.5</v>
          </cell>
          <cell r="AZ359">
            <v>2.5</v>
          </cell>
          <cell r="BA359">
            <v>2.5</v>
          </cell>
          <cell r="BC359">
            <v>2.5</v>
          </cell>
          <cell r="BW359">
            <v>2.5</v>
          </cell>
          <cell r="BX359">
            <v>2.5</v>
          </cell>
          <cell r="BZ359">
            <v>2.5</v>
          </cell>
          <cell r="CD359">
            <v>2.5</v>
          </cell>
          <cell r="DA359">
            <v>1.8666666666666665</v>
          </cell>
        </row>
        <row r="360">
          <cell r="B360" t="str">
            <v>P6003</v>
          </cell>
          <cell r="C360" t="str">
            <v>PURPLE Sweet Potato 番薯</v>
          </cell>
          <cell r="D360" t="str">
            <v>Malaysia</v>
          </cell>
          <cell r="E360" t="str">
            <v>Malaysia</v>
          </cell>
          <cell r="F360" t="str">
            <v>1 KG</v>
          </cell>
          <cell r="G360" t="str">
            <v>Bag</v>
          </cell>
          <cell r="H360">
            <v>1.6</v>
          </cell>
          <cell r="DA360">
            <v>2</v>
          </cell>
        </row>
        <row r="361">
          <cell r="B361" t="str">
            <v>P6004</v>
          </cell>
          <cell r="C361" t="str">
            <v>Yam 芋头</v>
          </cell>
          <cell r="D361" t="str">
            <v>-</v>
          </cell>
          <cell r="E361" t="str">
            <v>Thailand</v>
          </cell>
          <cell r="F361" t="str">
            <v>1 KG</v>
          </cell>
          <cell r="G361" t="str">
            <v>Bag</v>
          </cell>
          <cell r="H361">
            <v>4</v>
          </cell>
          <cell r="K361">
            <v>4</v>
          </cell>
          <cell r="N361">
            <v>4.8</v>
          </cell>
          <cell r="O361">
            <v>4.8</v>
          </cell>
          <cell r="P361">
            <v>4.8</v>
          </cell>
          <cell r="Q361">
            <v>5.5</v>
          </cell>
          <cell r="S361">
            <v>6</v>
          </cell>
          <cell r="AM361">
            <v>4.8</v>
          </cell>
          <cell r="BZ361">
            <v>4.8</v>
          </cell>
          <cell r="DA361">
            <v>3.5185185185185186</v>
          </cell>
        </row>
        <row r="362">
          <cell r="B362" t="str">
            <v>P6005</v>
          </cell>
          <cell r="C362" t="str">
            <v>Yam 芋头</v>
          </cell>
          <cell r="D362" t="str">
            <v>Malaysia</v>
          </cell>
          <cell r="E362" t="str">
            <v>Malaysia</v>
          </cell>
          <cell r="F362" t="str">
            <v>1 KG</v>
          </cell>
          <cell r="G362" t="str">
            <v>Bag</v>
          </cell>
          <cell r="I362">
            <v>4</v>
          </cell>
          <cell r="J362">
            <v>3</v>
          </cell>
          <cell r="AC362">
            <v>3</v>
          </cell>
          <cell r="AJ362">
            <v>3.2</v>
          </cell>
          <cell r="AP362">
            <v>3</v>
          </cell>
          <cell r="AQ362">
            <v>3</v>
          </cell>
          <cell r="AR362">
            <v>3</v>
          </cell>
          <cell r="AT362">
            <v>3</v>
          </cell>
          <cell r="AU362">
            <v>3</v>
          </cell>
          <cell r="AV362">
            <v>3</v>
          </cell>
          <cell r="AW362">
            <v>3</v>
          </cell>
          <cell r="AX362">
            <v>3</v>
          </cell>
          <cell r="AY362">
            <v>3</v>
          </cell>
          <cell r="AZ362">
            <v>3</v>
          </cell>
          <cell r="BA362">
            <v>3</v>
          </cell>
          <cell r="BC362">
            <v>3</v>
          </cell>
          <cell r="BX362">
            <v>3</v>
          </cell>
          <cell r="DA362">
            <v>1.8</v>
          </cell>
        </row>
        <row r="363">
          <cell r="B363" t="str">
            <v>P6006</v>
          </cell>
          <cell r="C363" t="str">
            <v>Yam Skinless 芋头去皮</v>
          </cell>
          <cell r="D363" t="str">
            <v>Indonesia</v>
          </cell>
          <cell r="E363" t="str">
            <v>Thailand</v>
          </cell>
          <cell r="F363" t="str">
            <v>1 KG</v>
          </cell>
          <cell r="G363" t="str">
            <v>Bag</v>
          </cell>
          <cell r="H363">
            <v>3.5</v>
          </cell>
          <cell r="K363">
            <v>6</v>
          </cell>
          <cell r="O363">
            <v>6.5</v>
          </cell>
          <cell r="P363">
            <v>6.5</v>
          </cell>
          <cell r="Q363">
            <v>6.5</v>
          </cell>
          <cell r="S363">
            <v>7</v>
          </cell>
          <cell r="U363">
            <v>6.5</v>
          </cell>
          <cell r="X363">
            <v>6.5</v>
          </cell>
          <cell r="AM363">
            <v>6.5</v>
          </cell>
          <cell r="DA363">
            <v>0</v>
          </cell>
        </row>
        <row r="364">
          <cell r="B364" t="str">
            <v>P6007</v>
          </cell>
          <cell r="C364" t="str">
            <v>Pandan Leaf 班兰叶</v>
          </cell>
          <cell r="D364" t="str">
            <v>Malaysia</v>
          </cell>
          <cell r="E364" t="str">
            <v>-</v>
          </cell>
          <cell r="F364" t="str">
            <v>1 kg</v>
          </cell>
          <cell r="G364" t="str">
            <v>Bag</v>
          </cell>
          <cell r="H364">
            <v>1.5</v>
          </cell>
          <cell r="I364">
            <v>1.8</v>
          </cell>
          <cell r="J364">
            <v>1.8</v>
          </cell>
          <cell r="O364">
            <v>2</v>
          </cell>
          <cell r="P364">
            <v>1.8</v>
          </cell>
          <cell r="Q364">
            <v>1.8</v>
          </cell>
          <cell r="S364">
            <v>2.5</v>
          </cell>
          <cell r="Y364">
            <v>2</v>
          </cell>
          <cell r="AC364">
            <v>1.8</v>
          </cell>
          <cell r="AF364">
            <v>1.8</v>
          </cell>
          <cell r="AM364">
            <v>1.8</v>
          </cell>
          <cell r="AO364">
            <v>1.8</v>
          </cell>
          <cell r="AP364">
            <v>1.8</v>
          </cell>
          <cell r="AQ364">
            <v>1.8</v>
          </cell>
          <cell r="AR364">
            <v>1.8</v>
          </cell>
          <cell r="AT364">
            <v>1.8</v>
          </cell>
          <cell r="AU364">
            <v>1.8</v>
          </cell>
          <cell r="AV364">
            <v>1.8</v>
          </cell>
          <cell r="AW364">
            <v>1.8</v>
          </cell>
          <cell r="AX364">
            <v>1.8</v>
          </cell>
          <cell r="AY364">
            <v>1.8</v>
          </cell>
          <cell r="AZ364">
            <v>1.8</v>
          </cell>
          <cell r="BA364">
            <v>1.8</v>
          </cell>
          <cell r="BC364">
            <v>1.5</v>
          </cell>
          <cell r="BU364">
            <v>1.8</v>
          </cell>
          <cell r="BX364">
            <v>1.8</v>
          </cell>
          <cell r="BZ364">
            <v>2</v>
          </cell>
          <cell r="DA364">
            <v>1</v>
          </cell>
        </row>
        <row r="365">
          <cell r="B365" t="str">
            <v>P6008</v>
          </cell>
          <cell r="C365" t="str">
            <v>Lime 酸甘</v>
          </cell>
          <cell r="D365" t="str">
            <v>Malaysia</v>
          </cell>
          <cell r="E365" t="str">
            <v>-</v>
          </cell>
          <cell r="F365" t="str">
            <v>1 kg</v>
          </cell>
          <cell r="G365" t="str">
            <v>Bag</v>
          </cell>
          <cell r="H365">
            <v>2.5</v>
          </cell>
          <cell r="I365">
            <v>2.8</v>
          </cell>
          <cell r="J365">
            <v>2.8</v>
          </cell>
          <cell r="N365">
            <v>2.7</v>
          </cell>
          <cell r="O365">
            <v>2.8</v>
          </cell>
          <cell r="P365">
            <v>2.5</v>
          </cell>
          <cell r="Q365">
            <v>2.5</v>
          </cell>
          <cell r="S365">
            <v>3</v>
          </cell>
          <cell r="AC365">
            <v>2.8</v>
          </cell>
          <cell r="AF365">
            <v>2.8</v>
          </cell>
          <cell r="AO365">
            <v>2.8</v>
          </cell>
          <cell r="AP365">
            <v>2.8</v>
          </cell>
          <cell r="AQ365">
            <v>2.8</v>
          </cell>
          <cell r="AR365">
            <v>2.8</v>
          </cell>
          <cell r="AT365">
            <v>2.8</v>
          </cell>
          <cell r="AU365">
            <v>2.8</v>
          </cell>
          <cell r="AV365">
            <v>2.8</v>
          </cell>
          <cell r="AW365">
            <v>2.8</v>
          </cell>
          <cell r="AX365">
            <v>2.8</v>
          </cell>
          <cell r="AY365">
            <v>2.8</v>
          </cell>
          <cell r="AZ365">
            <v>2.8</v>
          </cell>
          <cell r="BA365">
            <v>2.8</v>
          </cell>
          <cell r="BC365">
            <v>2.5</v>
          </cell>
          <cell r="BU365">
            <v>2.5</v>
          </cell>
          <cell r="BX365">
            <v>2.8</v>
          </cell>
          <cell r="BZ365">
            <v>3</v>
          </cell>
          <cell r="DA365">
            <v>1.9</v>
          </cell>
        </row>
        <row r="366">
          <cell r="B366" t="str">
            <v>P6009</v>
          </cell>
          <cell r="C366" t="str">
            <v>Radish 白罗卜</v>
          </cell>
          <cell r="D366" t="str">
            <v>China</v>
          </cell>
          <cell r="E366" t="str">
            <v>China</v>
          </cell>
          <cell r="F366" t="str">
            <v>10 kgs</v>
          </cell>
          <cell r="DA366">
            <v>0</v>
          </cell>
        </row>
        <row r="367">
          <cell r="B367" t="str">
            <v>P6010</v>
          </cell>
          <cell r="C367" t="str">
            <v>China Turnip沙葛</v>
          </cell>
          <cell r="D367" t="str">
            <v>Malaysia</v>
          </cell>
          <cell r="E367" t="str">
            <v>Malaysia</v>
          </cell>
          <cell r="F367" t="str">
            <v>1 kgs</v>
          </cell>
          <cell r="DA367">
            <v>0</v>
          </cell>
        </row>
        <row r="368">
          <cell r="B368" t="str">
            <v>P6011</v>
          </cell>
          <cell r="C368" t="str">
            <v>Ginger 老姜</v>
          </cell>
          <cell r="D368" t="str">
            <v>Malaysia</v>
          </cell>
          <cell r="E368" t="str">
            <v>-</v>
          </cell>
          <cell r="F368" t="str">
            <v>1 kg</v>
          </cell>
          <cell r="G368" t="str">
            <v>Bag</v>
          </cell>
          <cell r="H368">
            <v>4</v>
          </cell>
          <cell r="I368">
            <v>4</v>
          </cell>
          <cell r="J368">
            <v>4</v>
          </cell>
          <cell r="L368">
            <v>4</v>
          </cell>
          <cell r="O368">
            <v>4</v>
          </cell>
          <cell r="P368">
            <v>4</v>
          </cell>
          <cell r="Q368">
            <v>4</v>
          </cell>
          <cell r="AM368">
            <v>4</v>
          </cell>
          <cell r="AP368">
            <v>4</v>
          </cell>
          <cell r="AQ368">
            <v>4</v>
          </cell>
          <cell r="AR368">
            <v>4</v>
          </cell>
          <cell r="AT368">
            <v>4</v>
          </cell>
          <cell r="AU368">
            <v>4</v>
          </cell>
          <cell r="AV368">
            <v>4</v>
          </cell>
          <cell r="AW368">
            <v>4</v>
          </cell>
          <cell r="AX368">
            <v>4</v>
          </cell>
          <cell r="AY368">
            <v>4</v>
          </cell>
          <cell r="AZ368">
            <v>4</v>
          </cell>
          <cell r="BA368">
            <v>4</v>
          </cell>
          <cell r="BC368">
            <v>4</v>
          </cell>
          <cell r="BZ368">
            <v>4</v>
          </cell>
          <cell r="DA368">
            <v>3</v>
          </cell>
        </row>
        <row r="369">
          <cell r="B369" t="str">
            <v>P6012</v>
          </cell>
          <cell r="C369" t="str">
            <v>Bonton Ginger</v>
          </cell>
          <cell r="E369" t="str">
            <v>Malaysia</v>
          </cell>
          <cell r="F369" t="str">
            <v>1 kg</v>
          </cell>
        </row>
        <row r="370">
          <cell r="B370" t="str">
            <v>P6013</v>
          </cell>
          <cell r="C370" t="str">
            <v>BUTTERFLY PEAS</v>
          </cell>
          <cell r="D370" t="str">
            <v>Malaysia</v>
          </cell>
          <cell r="E370" t="str">
            <v>-</v>
          </cell>
          <cell r="F370" t="str">
            <v>50 GMS</v>
          </cell>
          <cell r="G370" t="str">
            <v>BAG</v>
          </cell>
          <cell r="H370">
            <v>15</v>
          </cell>
          <cell r="I370">
            <v>15</v>
          </cell>
          <cell r="BU370">
            <v>15</v>
          </cell>
          <cell r="DA370">
            <v>3.5999999999999996</v>
          </cell>
        </row>
        <row r="371">
          <cell r="B371" t="str">
            <v>P6014</v>
          </cell>
          <cell r="C371" t="str">
            <v>Yu Tiao 油条</v>
          </cell>
          <cell r="D371" t="str">
            <v>Singapore</v>
          </cell>
          <cell r="E371" t="str">
            <v>-</v>
          </cell>
          <cell r="F371" t="str">
            <v>1 pc</v>
          </cell>
          <cell r="G371" t="str">
            <v>Pce</v>
          </cell>
          <cell r="H371">
            <v>0.53333333333333333</v>
          </cell>
          <cell r="I371">
            <v>0.5</v>
          </cell>
          <cell r="Q371">
            <v>0.55000000000000004</v>
          </cell>
          <cell r="AJ371">
            <v>0.55000000000000004</v>
          </cell>
          <cell r="CA371">
            <v>0.7</v>
          </cell>
          <cell r="DA371">
            <v>0.4</v>
          </cell>
        </row>
        <row r="372">
          <cell r="B372" t="str">
            <v>P6015</v>
          </cell>
          <cell r="C372" t="str">
            <v>Pumpkin Gourd 金瓜</v>
          </cell>
          <cell r="D372" t="str">
            <v>Singapore</v>
          </cell>
          <cell r="E372" t="str">
            <v>-</v>
          </cell>
          <cell r="F372" t="str">
            <v>1 kg</v>
          </cell>
          <cell r="G372" t="str">
            <v>Pce</v>
          </cell>
          <cell r="H372">
            <v>2.5</v>
          </cell>
          <cell r="I372">
            <v>2.5</v>
          </cell>
          <cell r="DA372">
            <v>1.6</v>
          </cell>
        </row>
        <row r="377">
          <cell r="B377" t="str">
            <v>P7001</v>
          </cell>
          <cell r="C377" t="str">
            <v>Food Coloring - Liquid)颜色-水</v>
          </cell>
          <cell r="D377" t="str">
            <v>Malaysia</v>
          </cell>
          <cell r="E377" t="str">
            <v>Red/红</v>
          </cell>
          <cell r="F377" t="str">
            <v>500 ML/BTL</v>
          </cell>
          <cell r="G377" t="str">
            <v>Bottle</v>
          </cell>
          <cell r="H377">
            <v>2</v>
          </cell>
          <cell r="I377">
            <v>2.2999999999999998</v>
          </cell>
          <cell r="J377">
            <v>2.5</v>
          </cell>
          <cell r="M377">
            <v>2.5</v>
          </cell>
          <cell r="N377">
            <v>2.5</v>
          </cell>
          <cell r="O377">
            <v>2.5</v>
          </cell>
          <cell r="P377">
            <v>2.5</v>
          </cell>
          <cell r="Q377">
            <v>2.5</v>
          </cell>
          <cell r="R377">
            <v>2.5</v>
          </cell>
          <cell r="S377">
            <v>3</v>
          </cell>
          <cell r="U377">
            <v>2.5</v>
          </cell>
          <cell r="V377">
            <v>2.5</v>
          </cell>
          <cell r="AJ377">
            <v>3</v>
          </cell>
          <cell r="AM377">
            <v>2.5</v>
          </cell>
          <cell r="AP377">
            <v>2.5</v>
          </cell>
          <cell r="AQ377">
            <v>2.5</v>
          </cell>
          <cell r="AR377">
            <v>2.5</v>
          </cell>
          <cell r="AT377">
            <v>2.5</v>
          </cell>
          <cell r="AU377">
            <v>2.5</v>
          </cell>
          <cell r="AV377">
            <v>2.5</v>
          </cell>
          <cell r="AW377">
            <v>2.5</v>
          </cell>
          <cell r="AX377">
            <v>2.5</v>
          </cell>
          <cell r="AY377">
            <v>2.5</v>
          </cell>
          <cell r="AZ377">
            <v>2.5</v>
          </cell>
          <cell r="BA377">
            <v>2.5</v>
          </cell>
          <cell r="BC377">
            <v>2.5</v>
          </cell>
          <cell r="BU377">
            <v>2.5</v>
          </cell>
          <cell r="BX377">
            <v>2.5</v>
          </cell>
          <cell r="BZ377">
            <v>2.5</v>
          </cell>
          <cell r="CB377">
            <v>3</v>
          </cell>
          <cell r="DA377">
            <v>1.5999999999999999</v>
          </cell>
        </row>
        <row r="378">
          <cell r="B378" t="str">
            <v>P7002</v>
          </cell>
          <cell r="C378" t="str">
            <v>Food Coloring - Liquid)颜色-水</v>
          </cell>
          <cell r="D378" t="str">
            <v>Malaysia</v>
          </cell>
          <cell r="E378" t="str">
            <v>Green/青</v>
          </cell>
          <cell r="F378" t="str">
            <v>500 ML/BTL</v>
          </cell>
          <cell r="G378" t="str">
            <v>BTL</v>
          </cell>
          <cell r="H378">
            <v>2</v>
          </cell>
          <cell r="I378">
            <v>2.2999999999999998</v>
          </cell>
          <cell r="J378">
            <v>2.5</v>
          </cell>
          <cell r="M378">
            <v>2.5</v>
          </cell>
          <cell r="N378">
            <v>2.5</v>
          </cell>
          <cell r="O378">
            <v>2.5</v>
          </cell>
          <cell r="P378">
            <v>2.5</v>
          </cell>
          <cell r="Q378">
            <v>2.5</v>
          </cell>
          <cell r="R378">
            <v>2.5</v>
          </cell>
          <cell r="S378">
            <v>3</v>
          </cell>
          <cell r="U378">
            <v>2.5</v>
          </cell>
          <cell r="V378">
            <v>2.5</v>
          </cell>
          <cell r="AJ378">
            <v>3</v>
          </cell>
          <cell r="AM378">
            <v>2.5</v>
          </cell>
          <cell r="AP378">
            <v>2.5</v>
          </cell>
          <cell r="AQ378">
            <v>2.5</v>
          </cell>
          <cell r="AR378">
            <v>2.5</v>
          </cell>
          <cell r="AT378">
            <v>2.5</v>
          </cell>
          <cell r="AU378">
            <v>2.5</v>
          </cell>
          <cell r="AV378">
            <v>2.5</v>
          </cell>
          <cell r="AW378">
            <v>2.5</v>
          </cell>
          <cell r="AX378">
            <v>2.5</v>
          </cell>
          <cell r="AY378">
            <v>2.5</v>
          </cell>
          <cell r="AZ378">
            <v>2.5</v>
          </cell>
          <cell r="BA378">
            <v>2.5</v>
          </cell>
          <cell r="BC378">
            <v>2.5</v>
          </cell>
          <cell r="BU378">
            <v>2.5</v>
          </cell>
          <cell r="BX378">
            <v>2.5</v>
          </cell>
          <cell r="BZ378">
            <v>2.5</v>
          </cell>
          <cell r="CB378">
            <v>3</v>
          </cell>
          <cell r="DA378">
            <v>1.6</v>
          </cell>
        </row>
        <row r="379">
          <cell r="B379" t="str">
            <v>P7003</v>
          </cell>
          <cell r="C379" t="str">
            <v>Food Coloring - Liquid)颜色-水</v>
          </cell>
          <cell r="D379" t="str">
            <v>Malaysia</v>
          </cell>
          <cell r="E379" t="str">
            <v>Yellow/黄</v>
          </cell>
          <cell r="F379" t="str">
            <v>500 ML/BTL</v>
          </cell>
          <cell r="G379" t="str">
            <v>BTL</v>
          </cell>
          <cell r="H379">
            <v>2</v>
          </cell>
          <cell r="I379">
            <v>2</v>
          </cell>
          <cell r="J379">
            <v>2.5</v>
          </cell>
          <cell r="M379">
            <v>2.5</v>
          </cell>
          <cell r="N379">
            <v>2.5</v>
          </cell>
          <cell r="O379">
            <v>2.5</v>
          </cell>
          <cell r="P379">
            <v>2.5</v>
          </cell>
          <cell r="Q379">
            <v>2.5</v>
          </cell>
          <cell r="R379">
            <v>2.5</v>
          </cell>
          <cell r="S379">
            <v>3</v>
          </cell>
          <cell r="U379">
            <v>2.5</v>
          </cell>
          <cell r="V379">
            <v>2.5</v>
          </cell>
          <cell r="AM379">
            <v>2.5</v>
          </cell>
          <cell r="AP379">
            <v>2.5</v>
          </cell>
          <cell r="AQ379">
            <v>2.5</v>
          </cell>
          <cell r="AR379">
            <v>2.5</v>
          </cell>
          <cell r="AT379">
            <v>2.5</v>
          </cell>
          <cell r="AU379">
            <v>2.5</v>
          </cell>
          <cell r="AV379">
            <v>2.5</v>
          </cell>
          <cell r="AW379">
            <v>2.5</v>
          </cell>
          <cell r="AX379">
            <v>2.5</v>
          </cell>
          <cell r="AY379">
            <v>2.5</v>
          </cell>
          <cell r="AZ379">
            <v>2.5</v>
          </cell>
          <cell r="BA379">
            <v>2.5</v>
          </cell>
          <cell r="BC379">
            <v>2.5</v>
          </cell>
          <cell r="BU379">
            <v>2.5</v>
          </cell>
          <cell r="BX379">
            <v>2.5</v>
          </cell>
          <cell r="BZ379">
            <v>2.5</v>
          </cell>
          <cell r="DA379">
            <v>1.6</v>
          </cell>
        </row>
        <row r="380">
          <cell r="B380" t="str">
            <v>P7004</v>
          </cell>
          <cell r="C380" t="str">
            <v>Food Coloring - Liquid)颜色-水</v>
          </cell>
          <cell r="D380" t="str">
            <v>Malaysia</v>
          </cell>
          <cell r="E380" t="str">
            <v>Black/黑</v>
          </cell>
          <cell r="F380" t="str">
            <v>500 ML/BTL</v>
          </cell>
          <cell r="G380" t="str">
            <v>Box</v>
          </cell>
          <cell r="H380">
            <v>3</v>
          </cell>
          <cell r="I380">
            <v>4</v>
          </cell>
          <cell r="J380">
            <v>3.5</v>
          </cell>
          <cell r="M380">
            <v>4</v>
          </cell>
          <cell r="O380">
            <v>4</v>
          </cell>
          <cell r="P380">
            <v>4</v>
          </cell>
          <cell r="Q380">
            <v>4</v>
          </cell>
          <cell r="R380">
            <v>4</v>
          </cell>
          <cell r="S380">
            <v>4</v>
          </cell>
          <cell r="U380">
            <v>3.8</v>
          </cell>
          <cell r="V380">
            <v>4</v>
          </cell>
          <cell r="AE380">
            <v>4</v>
          </cell>
          <cell r="AJ380">
            <v>4</v>
          </cell>
          <cell r="AM380">
            <v>3.2</v>
          </cell>
          <cell r="AP380">
            <v>3.5</v>
          </cell>
          <cell r="AQ380">
            <v>3.5</v>
          </cell>
          <cell r="AR380">
            <v>3.5</v>
          </cell>
          <cell r="AT380">
            <v>3.5</v>
          </cell>
          <cell r="AU380">
            <v>3.5</v>
          </cell>
          <cell r="AV380">
            <v>3.5</v>
          </cell>
          <cell r="AW380">
            <v>3.5</v>
          </cell>
          <cell r="AX380">
            <v>3.5</v>
          </cell>
          <cell r="AY380">
            <v>3.5</v>
          </cell>
          <cell r="AZ380">
            <v>3.5</v>
          </cell>
          <cell r="BA380">
            <v>3.5</v>
          </cell>
          <cell r="BC380">
            <v>3.5</v>
          </cell>
          <cell r="BU380">
            <v>4</v>
          </cell>
          <cell r="BX380">
            <v>3.5</v>
          </cell>
          <cell r="BZ380">
            <v>4</v>
          </cell>
          <cell r="DA380">
            <v>2.5</v>
          </cell>
        </row>
        <row r="381">
          <cell r="B381" t="str">
            <v>P7005</v>
          </cell>
          <cell r="C381" t="str">
            <v>Food Coloring Powder  色粉</v>
          </cell>
          <cell r="D381" t="str">
            <v>Malaysia</v>
          </cell>
          <cell r="E381" t="str">
            <v>Red/红</v>
          </cell>
          <cell r="F381" t="str">
            <v>400 gms</v>
          </cell>
          <cell r="G381" t="str">
            <v>BTL</v>
          </cell>
          <cell r="H381">
            <v>20</v>
          </cell>
          <cell r="I381">
            <v>0</v>
          </cell>
          <cell r="J381">
            <v>20</v>
          </cell>
          <cell r="N381">
            <v>22</v>
          </cell>
          <cell r="O381">
            <v>22</v>
          </cell>
          <cell r="AO381">
            <v>20</v>
          </cell>
          <cell r="AP381">
            <v>20</v>
          </cell>
          <cell r="AQ381">
            <v>20</v>
          </cell>
          <cell r="AR381">
            <v>20</v>
          </cell>
          <cell r="AT381">
            <v>20</v>
          </cell>
          <cell r="AU381">
            <v>20</v>
          </cell>
          <cell r="AV381">
            <v>20</v>
          </cell>
          <cell r="AW381">
            <v>20</v>
          </cell>
          <cell r="AX381">
            <v>20</v>
          </cell>
          <cell r="AY381">
            <v>20</v>
          </cell>
          <cell r="AZ381">
            <v>20</v>
          </cell>
          <cell r="BA381">
            <v>20</v>
          </cell>
          <cell r="BC381">
            <v>20</v>
          </cell>
          <cell r="DA381">
            <v>11.200000000000001</v>
          </cell>
        </row>
        <row r="382">
          <cell r="B382" t="str">
            <v>P7006</v>
          </cell>
          <cell r="C382" t="str">
            <v>Food Coloring Powder  色粉</v>
          </cell>
          <cell r="D382" t="str">
            <v>Malaysia</v>
          </cell>
          <cell r="E382" t="str">
            <v>Green/青</v>
          </cell>
          <cell r="F382" t="str">
            <v>400 gms</v>
          </cell>
          <cell r="G382" t="str">
            <v>BTL</v>
          </cell>
          <cell r="H382">
            <v>20</v>
          </cell>
          <cell r="J382">
            <v>20</v>
          </cell>
          <cell r="O382">
            <v>20</v>
          </cell>
          <cell r="AP382">
            <v>20</v>
          </cell>
          <cell r="AQ382">
            <v>20</v>
          </cell>
          <cell r="AR382">
            <v>20</v>
          </cell>
          <cell r="AT382">
            <v>20</v>
          </cell>
          <cell r="AU382">
            <v>20</v>
          </cell>
          <cell r="AV382">
            <v>20</v>
          </cell>
          <cell r="AW382">
            <v>20</v>
          </cell>
          <cell r="AX382">
            <v>20</v>
          </cell>
          <cell r="AY382">
            <v>20</v>
          </cell>
          <cell r="AZ382">
            <v>20</v>
          </cell>
          <cell r="BA382">
            <v>20</v>
          </cell>
          <cell r="BC382">
            <v>20</v>
          </cell>
          <cell r="BG382">
            <v>22</v>
          </cell>
        </row>
        <row r="383">
          <cell r="B383" t="str">
            <v>P7007</v>
          </cell>
          <cell r="C383" t="str">
            <v>Food Coloring Powder  色粉</v>
          </cell>
          <cell r="E383" t="str">
            <v>Yellow/黄</v>
          </cell>
          <cell r="F383" t="str">
            <v>400 gms</v>
          </cell>
          <cell r="G383" t="str">
            <v>BTL</v>
          </cell>
          <cell r="O383">
            <v>20</v>
          </cell>
          <cell r="BG383">
            <v>22</v>
          </cell>
        </row>
        <row r="384">
          <cell r="B384" t="str">
            <v>P7008</v>
          </cell>
          <cell r="C384" t="str">
            <v>Food Coloring 颜色</v>
          </cell>
          <cell r="E384" t="str">
            <v>Black/黑</v>
          </cell>
          <cell r="F384" t="str">
            <v>5 lt</v>
          </cell>
          <cell r="G384" t="str">
            <v>BTL</v>
          </cell>
          <cell r="AE384">
            <v>23</v>
          </cell>
          <cell r="DA384">
            <v>13.5</v>
          </cell>
        </row>
        <row r="385">
          <cell r="B385" t="str">
            <v>P7009</v>
          </cell>
          <cell r="C385" t="str">
            <v>Flavour Essence香精</v>
          </cell>
          <cell r="D385" t="str">
            <v>Malaysia</v>
          </cell>
          <cell r="E385" t="str">
            <v>Almond No 1</v>
          </cell>
          <cell r="F385" t="str">
            <v>450 ML/BTL</v>
          </cell>
          <cell r="G385" t="str">
            <v>BTL</v>
          </cell>
          <cell r="H385">
            <v>13</v>
          </cell>
          <cell r="J385">
            <v>15</v>
          </cell>
          <cell r="N385">
            <v>15</v>
          </cell>
          <cell r="O385">
            <v>13</v>
          </cell>
          <cell r="P385">
            <v>13</v>
          </cell>
          <cell r="Q385">
            <v>13</v>
          </cell>
          <cell r="R385">
            <v>13</v>
          </cell>
          <cell r="U385">
            <v>15</v>
          </cell>
          <cell r="AB385">
            <v>15</v>
          </cell>
          <cell r="AE385">
            <v>18</v>
          </cell>
          <cell r="AP385">
            <v>15</v>
          </cell>
          <cell r="AQ385">
            <v>15</v>
          </cell>
          <cell r="AR385">
            <v>15</v>
          </cell>
          <cell r="AT385">
            <v>15</v>
          </cell>
          <cell r="AU385">
            <v>15</v>
          </cell>
          <cell r="AV385">
            <v>15</v>
          </cell>
          <cell r="AW385">
            <v>15</v>
          </cell>
          <cell r="AX385">
            <v>15</v>
          </cell>
          <cell r="AY385">
            <v>15</v>
          </cell>
          <cell r="AZ385">
            <v>15</v>
          </cell>
          <cell r="BA385">
            <v>15</v>
          </cell>
          <cell r="BC385">
            <v>15</v>
          </cell>
          <cell r="BZ385">
            <v>15</v>
          </cell>
          <cell r="DA385">
            <v>10.5</v>
          </cell>
        </row>
        <row r="386">
          <cell r="B386" t="str">
            <v>P7010</v>
          </cell>
          <cell r="C386" t="str">
            <v>Flavour Essence香精</v>
          </cell>
          <cell r="E386" t="str">
            <v>Rose</v>
          </cell>
          <cell r="F386" t="str">
            <v>450 ML/BTL</v>
          </cell>
          <cell r="G386" t="str">
            <v>BTL</v>
          </cell>
          <cell r="P386">
            <v>19</v>
          </cell>
        </row>
        <row r="387">
          <cell r="B387" t="str">
            <v>P7011</v>
          </cell>
          <cell r="C387" t="str">
            <v>Flavour Essence香精</v>
          </cell>
          <cell r="E387" t="str">
            <v>Honeydew</v>
          </cell>
          <cell r="F387" t="str">
            <v>450 ML/BTL</v>
          </cell>
          <cell r="G387" t="str">
            <v>BTL</v>
          </cell>
          <cell r="P387">
            <v>19</v>
          </cell>
        </row>
        <row r="388">
          <cell r="B388" t="str">
            <v>P7012</v>
          </cell>
          <cell r="C388" t="str">
            <v>Flavour Essence香精</v>
          </cell>
          <cell r="E388" t="str">
            <v>Mango</v>
          </cell>
          <cell r="F388" t="str">
            <v>450 ML/BTL</v>
          </cell>
          <cell r="G388" t="str">
            <v>BTL</v>
          </cell>
          <cell r="P388">
            <v>18</v>
          </cell>
          <cell r="DA388">
            <v>13</v>
          </cell>
        </row>
        <row r="389">
          <cell r="B389" t="str">
            <v>P7013</v>
          </cell>
          <cell r="C389" t="str">
            <v>Flavour Essence香精</v>
          </cell>
          <cell r="D389" t="str">
            <v>Malaysia</v>
          </cell>
          <cell r="E389" t="str">
            <v>Pandan (FKJ)</v>
          </cell>
          <cell r="F389" t="str">
            <v>450 ML/BTL</v>
          </cell>
          <cell r="G389" t="str">
            <v>BTL</v>
          </cell>
          <cell r="H389">
            <v>18</v>
          </cell>
          <cell r="J389">
            <v>20</v>
          </cell>
          <cell r="AP389">
            <v>20</v>
          </cell>
          <cell r="AQ389">
            <v>20</v>
          </cell>
          <cell r="AR389">
            <v>20</v>
          </cell>
          <cell r="AT389">
            <v>20</v>
          </cell>
          <cell r="AU389">
            <v>20</v>
          </cell>
          <cell r="AV389">
            <v>20</v>
          </cell>
          <cell r="AW389">
            <v>20</v>
          </cell>
          <cell r="AX389">
            <v>20</v>
          </cell>
          <cell r="AY389">
            <v>20</v>
          </cell>
          <cell r="AZ389">
            <v>20</v>
          </cell>
          <cell r="BA389">
            <v>20</v>
          </cell>
          <cell r="BC389">
            <v>20</v>
          </cell>
          <cell r="BZ389">
            <v>18</v>
          </cell>
          <cell r="DA389">
            <v>15</v>
          </cell>
        </row>
        <row r="390">
          <cell r="B390" t="str">
            <v>P7014</v>
          </cell>
          <cell r="C390" t="str">
            <v>Flavour Essence香精</v>
          </cell>
          <cell r="D390" t="str">
            <v>Holland</v>
          </cell>
          <cell r="E390" t="str">
            <v>2552 Strawberry</v>
          </cell>
          <cell r="F390" t="str">
            <v>450 ML/BTL</v>
          </cell>
          <cell r="G390" t="str">
            <v>BTL</v>
          </cell>
          <cell r="H390">
            <v>18</v>
          </cell>
        </row>
        <row r="391">
          <cell r="B391" t="str">
            <v>P7015</v>
          </cell>
          <cell r="C391" t="str">
            <v>Flavour Essence香精</v>
          </cell>
          <cell r="E391" t="str">
            <v>Peach</v>
          </cell>
          <cell r="F391" t="str">
            <v>1 Lt/BTL</v>
          </cell>
          <cell r="G391" t="str">
            <v>BTL</v>
          </cell>
        </row>
        <row r="392">
          <cell r="B392" t="str">
            <v>P7016</v>
          </cell>
          <cell r="C392" t="str">
            <v>Flavour Essence香精</v>
          </cell>
          <cell r="D392" t="str">
            <v>Holland</v>
          </cell>
          <cell r="E392" t="str">
            <v>2552 Strawberry</v>
          </cell>
          <cell r="F392" t="str">
            <v>1 Lt/BTL</v>
          </cell>
          <cell r="G392" t="str">
            <v>BTL</v>
          </cell>
          <cell r="H392">
            <v>28</v>
          </cell>
          <cell r="I392">
            <v>32</v>
          </cell>
          <cell r="DA392">
            <v>18</v>
          </cell>
        </row>
        <row r="393">
          <cell r="B393" t="str">
            <v>P7017</v>
          </cell>
          <cell r="C393" t="str">
            <v>Flavour Essence香精</v>
          </cell>
          <cell r="D393" t="str">
            <v>Holland</v>
          </cell>
          <cell r="E393" t="str">
            <v>Orange</v>
          </cell>
          <cell r="F393" t="str">
            <v>1 Lt/BTL</v>
          </cell>
          <cell r="G393" t="str">
            <v>BTL</v>
          </cell>
          <cell r="H393">
            <v>28</v>
          </cell>
          <cell r="I393">
            <v>32</v>
          </cell>
        </row>
        <row r="394">
          <cell r="B394" t="str">
            <v>P7018</v>
          </cell>
          <cell r="C394" t="str">
            <v>Flavour Essence香精</v>
          </cell>
          <cell r="D394" t="str">
            <v>Holland</v>
          </cell>
          <cell r="E394" t="str">
            <v>Pineapple</v>
          </cell>
          <cell r="F394" t="str">
            <v>1 Lt/BTL</v>
          </cell>
          <cell r="G394" t="str">
            <v>BTL</v>
          </cell>
          <cell r="H394">
            <v>28</v>
          </cell>
          <cell r="I394">
            <v>32</v>
          </cell>
          <cell r="DA394">
            <v>18</v>
          </cell>
        </row>
        <row r="395">
          <cell r="B395" t="str">
            <v>P7019</v>
          </cell>
          <cell r="C395" t="str">
            <v>Flavour Essence香精</v>
          </cell>
          <cell r="E395" t="str">
            <v>Banana 23</v>
          </cell>
          <cell r="F395" t="str">
            <v>1 Lt/BTL</v>
          </cell>
          <cell r="G395" t="str">
            <v>BTL</v>
          </cell>
        </row>
        <row r="396">
          <cell r="B396" t="str">
            <v>P7020</v>
          </cell>
          <cell r="C396" t="str">
            <v>Netual Cloudifier 白色精</v>
          </cell>
          <cell r="E396" t="str">
            <v>Cludly</v>
          </cell>
          <cell r="F396" t="str">
            <v>500 ml x12 BT/ Ctn</v>
          </cell>
          <cell r="G396" t="str">
            <v>Ctn</v>
          </cell>
        </row>
        <row r="397">
          <cell r="B397" t="str">
            <v>P7021</v>
          </cell>
          <cell r="C397" t="str">
            <v>Netual Cloudifier 白色精</v>
          </cell>
          <cell r="E397" t="str">
            <v>Cludly</v>
          </cell>
          <cell r="F397" t="str">
            <v>5 KGS</v>
          </cell>
          <cell r="G397" t="str">
            <v>Ctn</v>
          </cell>
        </row>
        <row r="398">
          <cell r="B398" t="str">
            <v>P7022</v>
          </cell>
          <cell r="C398" t="str">
            <v>Flavour Essence香精</v>
          </cell>
          <cell r="E398" t="str">
            <v>Wintermelon</v>
          </cell>
          <cell r="F398" t="str">
            <v>450ml</v>
          </cell>
          <cell r="G398" t="str">
            <v>BOTTLE</v>
          </cell>
          <cell r="DA398">
            <v>12</v>
          </cell>
        </row>
        <row r="399">
          <cell r="B399" t="str">
            <v>P7023</v>
          </cell>
          <cell r="C399" t="str">
            <v>Flavour Essence香精</v>
          </cell>
          <cell r="E399" t="str">
            <v>Durian</v>
          </cell>
          <cell r="F399" t="str">
            <v>450ml</v>
          </cell>
          <cell r="G399" t="str">
            <v>BOTTLE</v>
          </cell>
        </row>
        <row r="400">
          <cell r="B400" t="str">
            <v>P7024</v>
          </cell>
          <cell r="C400" t="str">
            <v>Flavour Essence香精</v>
          </cell>
          <cell r="E400" t="str">
            <v>Pandan (FKJ)</v>
          </cell>
          <cell r="F400" t="str">
            <v>1 lt/btl</v>
          </cell>
          <cell r="G400" t="str">
            <v>BOTTLE</v>
          </cell>
          <cell r="H400">
            <v>0</v>
          </cell>
          <cell r="I400">
            <v>0</v>
          </cell>
        </row>
        <row r="401">
          <cell r="B401" t="str">
            <v>P7025</v>
          </cell>
          <cell r="C401" t="str">
            <v>Almond Syrup 杏仁精</v>
          </cell>
          <cell r="D401" t="str">
            <v>Singapore</v>
          </cell>
          <cell r="E401" t="str">
            <v>Kwang Rong</v>
          </cell>
          <cell r="F401" t="str">
            <v>500 ml x12 Btl/ Ctn</v>
          </cell>
          <cell r="G401" t="str">
            <v>Ctn</v>
          </cell>
          <cell r="H401">
            <v>22.8</v>
          </cell>
          <cell r="AE401">
            <v>26.4</v>
          </cell>
          <cell r="DA401">
            <v>22.8</v>
          </cell>
        </row>
        <row r="402">
          <cell r="B402" t="str">
            <v>P8001</v>
          </cell>
          <cell r="C402" t="str">
            <v>TOW SUAN</v>
          </cell>
          <cell r="D402" t="str">
            <v>Singapore</v>
          </cell>
          <cell r="E402" t="str">
            <v>DO!</v>
          </cell>
          <cell r="F402" t="str">
            <v>4 KGS</v>
          </cell>
          <cell r="G402" t="str">
            <v>BAG</v>
          </cell>
          <cell r="H402">
            <v>7.7</v>
          </cell>
          <cell r="CA402">
            <v>9.6999999999999993</v>
          </cell>
        </row>
        <row r="403">
          <cell r="B403" t="str">
            <v>P8002</v>
          </cell>
          <cell r="C403" t="str">
            <v>BUBOR HITAM</v>
          </cell>
          <cell r="D403" t="str">
            <v>Singapore</v>
          </cell>
          <cell r="E403" t="str">
            <v>DO!</v>
          </cell>
          <cell r="F403" t="str">
            <v>4 KGS</v>
          </cell>
          <cell r="G403" t="str">
            <v>BAG</v>
          </cell>
          <cell r="CA403">
            <v>9.6999999999999993</v>
          </cell>
        </row>
        <row r="404">
          <cell r="B404" t="str">
            <v>P8003</v>
          </cell>
          <cell r="C404" t="str">
            <v>BUBOR TERIGU</v>
          </cell>
          <cell r="D404" t="str">
            <v>Singapore</v>
          </cell>
          <cell r="E404" t="str">
            <v>DO!</v>
          </cell>
          <cell r="F404" t="str">
            <v>4 KGS</v>
          </cell>
          <cell r="G404" t="str">
            <v>BAG</v>
          </cell>
          <cell r="CA404">
            <v>9.6999999999999993</v>
          </cell>
        </row>
        <row r="405">
          <cell r="B405" t="str">
            <v>P8004</v>
          </cell>
          <cell r="C405" t="str">
            <v>Green Bean Soup 绿豆</v>
          </cell>
          <cell r="D405" t="str">
            <v>Singapore</v>
          </cell>
          <cell r="E405" t="str">
            <v>DO!</v>
          </cell>
          <cell r="F405" t="str">
            <v>4 KGS</v>
          </cell>
          <cell r="G405" t="str">
            <v>BAG</v>
          </cell>
          <cell r="CA405">
            <v>9.6999999999999993</v>
          </cell>
        </row>
        <row r="406">
          <cell r="B406" t="str">
            <v>P8005</v>
          </cell>
          <cell r="C406" t="str">
            <v>Red Beam Soup</v>
          </cell>
          <cell r="D406" t="str">
            <v>Singapore</v>
          </cell>
          <cell r="E406" t="str">
            <v>DO!</v>
          </cell>
          <cell r="F406" t="str">
            <v>4 KGS</v>
          </cell>
          <cell r="G406" t="str">
            <v>BAG</v>
          </cell>
          <cell r="CA406">
            <v>9.6999999999999993</v>
          </cell>
        </row>
        <row r="407">
          <cell r="B407" t="str">
            <v>P8006</v>
          </cell>
          <cell r="C407" t="str">
            <v>Sweet Potato Soup</v>
          </cell>
          <cell r="D407" t="str">
            <v>Singapore</v>
          </cell>
          <cell r="E407" t="str">
            <v>DO!</v>
          </cell>
          <cell r="F407" t="str">
            <v>4 KGS</v>
          </cell>
          <cell r="G407" t="str">
            <v>BAG</v>
          </cell>
          <cell r="CA407">
            <v>9.6999999999999993</v>
          </cell>
        </row>
        <row r="408">
          <cell r="B408" t="str">
            <v>P8007</v>
          </cell>
          <cell r="C408" t="str">
            <v>Dessert Syrup</v>
          </cell>
          <cell r="D408" t="str">
            <v>Singapore</v>
          </cell>
          <cell r="E408" t="str">
            <v>DO!</v>
          </cell>
          <cell r="F408" t="str">
            <v>4 kgs</v>
          </cell>
          <cell r="G408" t="str">
            <v>Tub</v>
          </cell>
          <cell r="CA408">
            <v>6</v>
          </cell>
        </row>
        <row r="409">
          <cell r="B409" t="str">
            <v>P8008</v>
          </cell>
          <cell r="C409" t="str">
            <v xml:space="preserve">Steam Sweet Potato </v>
          </cell>
          <cell r="D409" t="str">
            <v>Singapore</v>
          </cell>
          <cell r="E409" t="str">
            <v>DO!</v>
          </cell>
          <cell r="F409" t="str">
            <v>1 kg</v>
          </cell>
          <cell r="G409" t="str">
            <v>Tub</v>
          </cell>
          <cell r="CA409">
            <v>4</v>
          </cell>
        </row>
        <row r="410">
          <cell r="B410" t="str">
            <v>P8009</v>
          </cell>
          <cell r="C410" t="str">
            <v>YAM PASTE</v>
          </cell>
          <cell r="D410" t="str">
            <v>Singapore</v>
          </cell>
          <cell r="E410" t="str">
            <v>-</v>
          </cell>
          <cell r="F410" t="str">
            <v>500 gms</v>
          </cell>
          <cell r="G410" t="str">
            <v>Pkt</v>
          </cell>
          <cell r="L410">
            <v>6</v>
          </cell>
        </row>
        <row r="421">
          <cell r="B421" t="str">
            <v>M038A</v>
          </cell>
          <cell r="C421" t="str">
            <v>YAM PASTE WITH GINGKO NUT</v>
          </cell>
          <cell r="D421" t="str">
            <v>Singapore</v>
          </cell>
          <cell r="E421" t="str">
            <v>DO!</v>
          </cell>
          <cell r="F421" t="str">
            <v>300GMS/BOX</v>
          </cell>
          <cell r="G421" t="str">
            <v>BOX</v>
          </cell>
          <cell r="BQ421">
            <v>7.5</v>
          </cell>
        </row>
        <row r="422">
          <cell r="B422" t="str">
            <v>M038B</v>
          </cell>
          <cell r="C422" t="str">
            <v>YAM PASTE</v>
          </cell>
          <cell r="D422" t="str">
            <v>Singapore</v>
          </cell>
          <cell r="E422" t="str">
            <v>-</v>
          </cell>
          <cell r="F422" t="str">
            <v>1KG</v>
          </cell>
          <cell r="G422" t="str">
            <v>BAG</v>
          </cell>
          <cell r="BQ422">
            <v>10</v>
          </cell>
        </row>
        <row r="429">
          <cell r="B429" t="str">
            <v>P013</v>
          </cell>
          <cell r="C429" t="str">
            <v>Cream Corn玉米浆</v>
          </cell>
          <cell r="D429" t="str">
            <v>Thailand</v>
          </cell>
          <cell r="E429" t="str">
            <v>Statue</v>
          </cell>
          <cell r="F429" t="str">
            <v>425g/Canx 12</v>
          </cell>
          <cell r="G429" t="str">
            <v>Box</v>
          </cell>
          <cell r="H429">
            <v>19</v>
          </cell>
          <cell r="I429">
            <v>19</v>
          </cell>
        </row>
        <row r="430">
          <cell r="B430" t="str">
            <v>P014</v>
          </cell>
          <cell r="C430" t="str">
            <v>Whole Corn玉米粒</v>
          </cell>
          <cell r="D430" t="str">
            <v>Thailand</v>
          </cell>
          <cell r="E430" t="str">
            <v>statue</v>
          </cell>
          <cell r="F430" t="str">
            <v>410G/Canx 12</v>
          </cell>
          <cell r="G430" t="str">
            <v>Box</v>
          </cell>
          <cell r="H430">
            <v>19</v>
          </cell>
          <cell r="I430">
            <v>19</v>
          </cell>
        </row>
        <row r="431">
          <cell r="B431" t="str">
            <v>P016</v>
          </cell>
          <cell r="C431" t="str">
            <v>Carnation Milk淡奶水</v>
          </cell>
          <cell r="E431" t="str">
            <v>Marigo牛</v>
          </cell>
          <cell r="F431" t="str">
            <v>405gm/can/罐</v>
          </cell>
          <cell r="G431" t="str">
            <v>罐</v>
          </cell>
          <cell r="H431">
            <v>0</v>
          </cell>
          <cell r="I431">
            <v>0</v>
          </cell>
        </row>
        <row r="432">
          <cell r="B432" t="str">
            <v>P017</v>
          </cell>
          <cell r="C432" t="str">
            <v>Condnation Milk 练奶</v>
          </cell>
          <cell r="E432" t="str">
            <v>Dawn牛</v>
          </cell>
          <cell r="F432" t="str">
            <v>385gm/can/罐</v>
          </cell>
          <cell r="G432" t="str">
            <v>罐</v>
          </cell>
        </row>
        <row r="433">
          <cell r="B433" t="str">
            <v>P023</v>
          </cell>
          <cell r="C433" t="str">
            <v>Water Chestnut (Can) 马蹄</v>
          </cell>
          <cell r="E433" t="str">
            <v>-</v>
          </cell>
          <cell r="F433" t="str">
            <v>12 Can/Ctn</v>
          </cell>
          <cell r="G433" t="str">
            <v>Box</v>
          </cell>
        </row>
        <row r="434">
          <cell r="B434" t="str">
            <v>P025</v>
          </cell>
          <cell r="C434" t="str">
            <v>Coconut Milk 椰浆</v>
          </cell>
          <cell r="E434" t="str">
            <v>-</v>
          </cell>
          <cell r="F434" t="str">
            <v>1 kg</v>
          </cell>
          <cell r="G434" t="str">
            <v>Bag</v>
          </cell>
        </row>
        <row r="435">
          <cell r="C435" t="str">
            <v>冰糖陈皮</v>
          </cell>
          <cell r="E435" t="str">
            <v>-</v>
          </cell>
          <cell r="F435" t="str">
            <v>38.5GM X 26PKT</v>
          </cell>
          <cell r="G435" t="str">
            <v>BAG</v>
          </cell>
          <cell r="BO435">
            <v>10</v>
          </cell>
        </row>
        <row r="437">
          <cell r="B437" t="str">
            <v>P102S</v>
          </cell>
          <cell r="C437" t="str">
            <v>SODA ASH DENSE 枧粉</v>
          </cell>
          <cell r="F437" t="str">
            <v>200 gms</v>
          </cell>
          <cell r="H437">
            <v>2.08</v>
          </cell>
          <cell r="BO437">
            <v>0.65</v>
          </cell>
        </row>
        <row r="441">
          <cell r="B441" t="str">
            <v>P106</v>
          </cell>
          <cell r="C441" t="str">
            <v>SoyaBean 大黄豆</v>
          </cell>
          <cell r="D441" t="str">
            <v>China</v>
          </cell>
          <cell r="E441" t="str">
            <v>－</v>
          </cell>
          <cell r="F441" t="str">
            <v>1 kg/Bag</v>
          </cell>
          <cell r="G441" t="str">
            <v>Pkt</v>
          </cell>
          <cell r="H441">
            <v>1.4</v>
          </cell>
          <cell r="BO441">
            <v>0.85</v>
          </cell>
        </row>
        <row r="442">
          <cell r="B442" t="str">
            <v>P107</v>
          </cell>
          <cell r="C442" t="str">
            <v>Erawan Glutiuous Flour 糯米粉</v>
          </cell>
          <cell r="D442" t="str">
            <v>Thailand</v>
          </cell>
          <cell r="E442" t="str">
            <v>-</v>
          </cell>
          <cell r="F442" t="str">
            <v>600 gms/bag</v>
          </cell>
          <cell r="G442" t="str">
            <v>Bag</v>
          </cell>
          <cell r="I442">
            <v>1.7</v>
          </cell>
          <cell r="BO442">
            <v>1.65</v>
          </cell>
        </row>
        <row r="443">
          <cell r="B443" t="str">
            <v>P108</v>
          </cell>
          <cell r="C443" t="str">
            <v>Groundnut Powder 花生粉</v>
          </cell>
          <cell r="D443" t="str">
            <v>Singapore</v>
          </cell>
          <cell r="E443" t="str">
            <v>-</v>
          </cell>
          <cell r="F443" t="str">
            <v>1 kg/Bag</v>
          </cell>
          <cell r="G443" t="str">
            <v>Bag</v>
          </cell>
          <cell r="I443">
            <v>5.5</v>
          </cell>
          <cell r="BO443">
            <v>5</v>
          </cell>
        </row>
        <row r="444">
          <cell r="B444" t="str">
            <v>P109</v>
          </cell>
          <cell r="C444" t="str">
            <v>BLACK BEAN 黑豆</v>
          </cell>
          <cell r="F444" t="str">
            <v>500 GMS</v>
          </cell>
          <cell r="G444" t="str">
            <v>BAG</v>
          </cell>
          <cell r="BO444">
            <v>1.7</v>
          </cell>
        </row>
        <row r="445">
          <cell r="B445" t="str">
            <v>P110</v>
          </cell>
          <cell r="C445" t="str">
            <v>Coconut Sugar椰糖</v>
          </cell>
          <cell r="D445" t="str">
            <v>Malaysia</v>
          </cell>
          <cell r="E445" t="str">
            <v>-</v>
          </cell>
          <cell r="F445" t="str">
            <v>2piece/bag</v>
          </cell>
          <cell r="G445" t="str">
            <v>PKT</v>
          </cell>
          <cell r="AM445">
            <v>1.8</v>
          </cell>
          <cell r="BO445">
            <v>1.3</v>
          </cell>
        </row>
        <row r="449">
          <cell r="B449" t="str">
            <v>R071</v>
          </cell>
          <cell r="C449" t="str">
            <v>GingKo Nut (Peel off)白果仁</v>
          </cell>
          <cell r="F449" t="str">
            <v>(500g x 24 pkt)/箱</v>
          </cell>
          <cell r="G449" t="str">
            <v>CTN</v>
          </cell>
        </row>
        <row r="450">
          <cell r="B450" t="str">
            <v>R072</v>
          </cell>
          <cell r="C450" t="str">
            <v>GingKo Nut白果粒</v>
          </cell>
          <cell r="E450" t="str">
            <v>GRD1</v>
          </cell>
          <cell r="F450" t="str">
            <v>30 kgs/bag</v>
          </cell>
          <cell r="G450" t="str">
            <v>Kg</v>
          </cell>
          <cell r="H450">
            <v>78</v>
          </cell>
          <cell r="L450">
            <v>80</v>
          </cell>
          <cell r="M450">
            <v>80</v>
          </cell>
        </row>
        <row r="451">
          <cell r="B451" t="str">
            <v>R074</v>
          </cell>
          <cell r="C451" t="str">
            <v>Tapioca Flour 茨粉</v>
          </cell>
          <cell r="E451" t="str">
            <v>F/man 飞人</v>
          </cell>
          <cell r="F451" t="str">
            <v>25KG</v>
          </cell>
          <cell r="G451" t="str">
            <v>Bag</v>
          </cell>
          <cell r="H451">
            <v>30.55</v>
          </cell>
          <cell r="K451">
            <v>30</v>
          </cell>
          <cell r="AG451">
            <v>30</v>
          </cell>
        </row>
        <row r="452">
          <cell r="B452" t="str">
            <v>R075</v>
          </cell>
          <cell r="C452" t="str">
            <v>Sea Coconut海底椰</v>
          </cell>
          <cell r="E452" t="str">
            <v>Golden Boy</v>
          </cell>
          <cell r="F452" t="str">
            <v>6 Can X A10</v>
          </cell>
          <cell r="G452" t="str">
            <v>Ctn</v>
          </cell>
          <cell r="W452">
            <v>86</v>
          </cell>
          <cell r="BG452">
            <v>96</v>
          </cell>
        </row>
        <row r="453">
          <cell r="B453" t="str">
            <v>R078</v>
          </cell>
          <cell r="C453" t="str">
            <v>发糕</v>
          </cell>
          <cell r="E453" t="str">
            <v>－</v>
          </cell>
          <cell r="F453" t="str">
            <v>SMALL</v>
          </cell>
          <cell r="BO453">
            <v>0.9</v>
          </cell>
        </row>
        <row r="454">
          <cell r="B454" t="str">
            <v>R079</v>
          </cell>
          <cell r="C454" t="str">
            <v>POLAR MINERAL WATER</v>
          </cell>
          <cell r="E454" t="str">
            <v>-</v>
          </cell>
          <cell r="F454" t="str">
            <v>600ML/24BTL</v>
          </cell>
          <cell r="G454" t="str">
            <v>CARTON</v>
          </cell>
          <cell r="R454">
            <v>6.5</v>
          </cell>
        </row>
        <row r="455">
          <cell r="B455" t="str">
            <v>R080</v>
          </cell>
          <cell r="C455" t="str">
            <v>小麦草</v>
          </cell>
          <cell r="D455" t="str">
            <v>Malaysia</v>
          </cell>
          <cell r="E455" t="str">
            <v>-</v>
          </cell>
          <cell r="F455" t="str">
            <v>4 lt</v>
          </cell>
          <cell r="AB455">
            <v>22</v>
          </cell>
        </row>
        <row r="456">
          <cell r="B456" t="str">
            <v>R084</v>
          </cell>
          <cell r="C456" t="str">
            <v>MIXED SAGO 混色西谷</v>
          </cell>
          <cell r="D456" t="str">
            <v>Malaysia</v>
          </cell>
          <cell r="E456" t="str">
            <v>KHS</v>
          </cell>
          <cell r="F456" t="str">
            <v xml:space="preserve">300GM </v>
          </cell>
          <cell r="I456">
            <v>2</v>
          </cell>
          <cell r="BO456">
            <v>1.8</v>
          </cell>
        </row>
        <row r="457">
          <cell r="B457" t="str">
            <v>R085</v>
          </cell>
          <cell r="C457" t="str">
            <v>CHINSU FISH SAUCE 金素味露</v>
          </cell>
          <cell r="F457" t="str">
            <v>500ML</v>
          </cell>
          <cell r="BO457">
            <v>2.2999999999999998</v>
          </cell>
        </row>
        <row r="458">
          <cell r="B458" t="str">
            <v>R086</v>
          </cell>
          <cell r="C458" t="str">
            <v>VN TAM THAI TU SOY SAUCE 越南酱青</v>
          </cell>
          <cell r="F458" t="str">
            <v>500ML</v>
          </cell>
          <cell r="BO458">
            <v>1.5</v>
          </cell>
        </row>
        <row r="459">
          <cell r="B459" t="str">
            <v>R087</v>
          </cell>
          <cell r="C459" t="str">
            <v>VN SAFOCO RICE PAPER越 南米皮</v>
          </cell>
          <cell r="F459" t="str">
            <v>500GM X 10</v>
          </cell>
          <cell r="BO459">
            <v>29</v>
          </cell>
        </row>
        <row r="460">
          <cell r="B460" t="str">
            <v>R088</v>
          </cell>
          <cell r="C460" t="str">
            <v>VN SAFOCO FRESH RICE VERMICELL沙波歌米粉</v>
          </cell>
          <cell r="F460" t="str">
            <v>300GM X 15</v>
          </cell>
          <cell r="BO460">
            <v>23.5</v>
          </cell>
        </row>
        <row r="461">
          <cell r="B461" t="str">
            <v>R089</v>
          </cell>
          <cell r="C461" t="str">
            <v>VIETNAM VINA BANH NOODLE 越南粿条</v>
          </cell>
          <cell r="E461" t="str">
            <v>BLUE STRAP</v>
          </cell>
          <cell r="F461" t="str">
            <v>400GM X 20</v>
          </cell>
          <cell r="BO461">
            <v>36</v>
          </cell>
        </row>
        <row r="462">
          <cell r="B462" t="str">
            <v>R090</v>
          </cell>
          <cell r="C462" t="str">
            <v>WHITE PEPPER POWDER白胡椒粉</v>
          </cell>
          <cell r="F462" t="str">
            <v>25GM X 12</v>
          </cell>
          <cell r="BO462">
            <v>22.5</v>
          </cell>
        </row>
        <row r="463">
          <cell r="B463" t="str">
            <v>R091</v>
          </cell>
          <cell r="C463" t="str">
            <v>FINE PINK SALT 喜马拉雅粉盐</v>
          </cell>
          <cell r="F463" t="str">
            <v>500GM X 10</v>
          </cell>
          <cell r="BO463">
            <v>21.5</v>
          </cell>
        </row>
        <row r="464">
          <cell r="B464" t="str">
            <v>R092</v>
          </cell>
          <cell r="C464" t="str">
            <v>TAMARIND 亚参</v>
          </cell>
          <cell r="F464" t="str">
            <v>70 X 300GM</v>
          </cell>
          <cell r="BO464">
            <v>50</v>
          </cell>
        </row>
        <row r="465">
          <cell r="B465" t="str">
            <v>R093</v>
          </cell>
          <cell r="C465" t="str">
            <v>YELLOW Rock Suger黄冰糖</v>
          </cell>
          <cell r="F465" t="str">
            <v>400GM X 50</v>
          </cell>
          <cell r="BO465">
            <v>58</v>
          </cell>
        </row>
        <row r="466">
          <cell r="B466" t="str">
            <v>R094</v>
          </cell>
          <cell r="C466" t="str">
            <v>HUA TIAO WINE花彫酒</v>
          </cell>
          <cell r="F466" t="str">
            <v xml:space="preserve">640ML X 12 </v>
          </cell>
          <cell r="BO466">
            <v>1.2</v>
          </cell>
        </row>
        <row r="467">
          <cell r="B467" t="str">
            <v>R095</v>
          </cell>
          <cell r="C467" t="str">
            <v>BLACK SESAME SEED. 黑芝麻</v>
          </cell>
          <cell r="F467" t="str">
            <v>200 GMS</v>
          </cell>
          <cell r="BO467">
            <v>1.4</v>
          </cell>
        </row>
        <row r="468">
          <cell r="B468" t="str">
            <v>R096</v>
          </cell>
          <cell r="C468" t="str">
            <v>WHITE SEASAME 白芝麻</v>
          </cell>
          <cell r="F468" t="str">
            <v>200 GMS</v>
          </cell>
          <cell r="BO468">
            <v>1.2</v>
          </cell>
        </row>
        <row r="469">
          <cell r="B469" t="str">
            <v>R099</v>
          </cell>
          <cell r="C469" t="str">
            <v>WHITE PEPPER POWDER白胡椒粉</v>
          </cell>
          <cell r="F469" t="str">
            <v>400 GMS</v>
          </cell>
          <cell r="G469" t="str">
            <v>PKT</v>
          </cell>
          <cell r="P469">
            <v>3</v>
          </cell>
          <cell r="BO469">
            <v>3</v>
          </cell>
        </row>
        <row r="470">
          <cell r="B470" t="str">
            <v>R100</v>
          </cell>
          <cell r="C470" t="str">
            <v>HAO HAO INSTANT SPICY NOODLE</v>
          </cell>
          <cell r="F470" t="str">
            <v>75 GM X 30</v>
          </cell>
          <cell r="G470" t="str">
            <v>BOX</v>
          </cell>
          <cell r="BO470">
            <v>14</v>
          </cell>
        </row>
        <row r="471">
          <cell r="B471" t="str">
            <v>R101</v>
          </cell>
          <cell r="C471" t="str">
            <v>Chrysanthmum</v>
          </cell>
          <cell r="D471" t="str">
            <v>China</v>
          </cell>
          <cell r="E471" t="str">
            <v>-</v>
          </cell>
          <cell r="F471" t="str">
            <v>1 kg</v>
          </cell>
          <cell r="G471" t="str">
            <v>Pkt</v>
          </cell>
          <cell r="BU471">
            <v>20</v>
          </cell>
        </row>
        <row r="472">
          <cell r="B472" t="str">
            <v>P060B</v>
          </cell>
          <cell r="C472" t="str">
            <v>Bean Curd Sheet 腐竹</v>
          </cell>
          <cell r="D472" t="str">
            <v>China</v>
          </cell>
          <cell r="E472" t="str">
            <v>福</v>
          </cell>
          <cell r="F472" t="str">
            <v>170G/PKT</v>
          </cell>
          <cell r="G472" t="str">
            <v>BAG</v>
          </cell>
          <cell r="I472">
            <v>2.2000000000000002</v>
          </cell>
          <cell r="J472">
            <v>2.2000000000000002</v>
          </cell>
          <cell r="L472">
            <v>2.4</v>
          </cell>
          <cell r="AO472">
            <v>2.2000000000000002</v>
          </cell>
          <cell r="AP472">
            <v>2.2000000000000002</v>
          </cell>
          <cell r="AQ472">
            <v>2.2000000000000002</v>
          </cell>
          <cell r="AR472">
            <v>2.2000000000000002</v>
          </cell>
          <cell r="AS472">
            <v>2.2000000000000002</v>
          </cell>
          <cell r="AT472">
            <v>2.2000000000000002</v>
          </cell>
          <cell r="AU472">
            <v>2.2000000000000002</v>
          </cell>
          <cell r="AV472">
            <v>2.2000000000000002</v>
          </cell>
          <cell r="AW472">
            <v>2.2000000000000002</v>
          </cell>
          <cell r="AX472">
            <v>2.2000000000000002</v>
          </cell>
          <cell r="AY472">
            <v>2.2000000000000002</v>
          </cell>
          <cell r="AZ472">
            <v>2.2000000000000002</v>
          </cell>
          <cell r="BA472">
            <v>2.2000000000000002</v>
          </cell>
          <cell r="BB472">
            <v>2.2000000000000002</v>
          </cell>
          <cell r="BC472">
            <v>2.2000000000000002</v>
          </cell>
          <cell r="BO472">
            <v>2.2000000000000002</v>
          </cell>
          <cell r="BX472">
            <v>2.2000000000000002</v>
          </cell>
        </row>
        <row r="473">
          <cell r="B473" t="str">
            <v>R035</v>
          </cell>
          <cell r="C473" t="str">
            <v>Ikan Terbang Wheat Flour</v>
          </cell>
          <cell r="E473" t="str">
            <v>-</v>
          </cell>
          <cell r="F473" t="str">
            <v>25 kgs/Bag</v>
          </cell>
          <cell r="G473" t="str">
            <v>Bag</v>
          </cell>
          <cell r="H473">
            <v>28</v>
          </cell>
          <cell r="BT473">
            <v>33.6</v>
          </cell>
        </row>
        <row r="474">
          <cell r="B474" t="str">
            <v>R036</v>
          </cell>
          <cell r="C474" t="str">
            <v>Dried Longan 龙眼干</v>
          </cell>
          <cell r="E474" t="str">
            <v>中</v>
          </cell>
          <cell r="F474" t="str">
            <v>10 kgs/箱</v>
          </cell>
          <cell r="G474" t="str">
            <v>CTN</v>
          </cell>
          <cell r="H474">
            <v>120</v>
          </cell>
          <cell r="J474">
            <v>120</v>
          </cell>
          <cell r="R474">
            <v>120</v>
          </cell>
          <cell r="AC474">
            <v>120</v>
          </cell>
          <cell r="AP474">
            <v>120</v>
          </cell>
          <cell r="AQ474">
            <v>120</v>
          </cell>
          <cell r="AR474">
            <v>120</v>
          </cell>
          <cell r="AT474">
            <v>120</v>
          </cell>
          <cell r="AU474">
            <v>120</v>
          </cell>
          <cell r="AV474">
            <v>120</v>
          </cell>
          <cell r="AW474">
            <v>120</v>
          </cell>
          <cell r="AX474">
            <v>120</v>
          </cell>
          <cell r="AY474">
            <v>120</v>
          </cell>
          <cell r="AZ474">
            <v>120</v>
          </cell>
          <cell r="BA474">
            <v>120</v>
          </cell>
          <cell r="BC474">
            <v>120</v>
          </cell>
          <cell r="BX474">
            <v>120</v>
          </cell>
        </row>
        <row r="475">
          <cell r="B475" t="str">
            <v>P080</v>
          </cell>
          <cell r="C475" t="str">
            <v>Honey Longan syrup  龙眼</v>
          </cell>
          <cell r="D475" t="str">
            <v>Taiwan</v>
          </cell>
          <cell r="E475" t="str">
            <v>-</v>
          </cell>
          <cell r="F475" t="str">
            <v>3 kgs</v>
          </cell>
          <cell r="G475" t="str">
            <v>Bottle</v>
          </cell>
          <cell r="H475">
            <v>11</v>
          </cell>
          <cell r="BU475">
            <v>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-ORDER LIST"/>
      <sheetName val="#04-33 Picking List"/>
      <sheetName val="#04-36 Picking List"/>
      <sheetName val="好运 "/>
      <sheetName val="Delivery Plan"/>
      <sheetName val="NY LIST"/>
      <sheetName val="Product Master"/>
      <sheetName val="ORDER LIST"/>
      <sheetName val="Sales Master"/>
      <sheetName val="Delivery Location"/>
      <sheetName val="#135"/>
      <sheetName val="#138"/>
      <sheetName val="#137"/>
      <sheetName val="#139"/>
      <sheetName val="#140"/>
      <sheetName val="#141"/>
      <sheetName val="#10"/>
      <sheetName val="#111"/>
      <sheetName val="#33"/>
      <sheetName val="#42"/>
      <sheetName val="#44"/>
      <sheetName val="#45"/>
      <sheetName val="#51"/>
      <sheetName val="#74"/>
      <sheetName val="#75"/>
      <sheetName val="#81"/>
      <sheetName val="#133"/>
      <sheetName val="#88"/>
      <sheetName val="#122"/>
      <sheetName val="#27"/>
      <sheetName val="#114"/>
      <sheetName val="#04"/>
      <sheetName val="#13"/>
      <sheetName val="#15"/>
      <sheetName val="#16"/>
      <sheetName val="#17"/>
      <sheetName val="#18"/>
      <sheetName val="#32"/>
      <sheetName val="#48"/>
      <sheetName val="#49"/>
      <sheetName val="#50"/>
      <sheetName val="#53"/>
      <sheetName val="#54"/>
      <sheetName val="#56"/>
      <sheetName val="#80"/>
      <sheetName val="#90"/>
      <sheetName val="#97"/>
      <sheetName val="#101"/>
      <sheetName val="#110"/>
      <sheetName val="#115"/>
      <sheetName val="#116"/>
      <sheetName val="#21"/>
      <sheetName val="#64"/>
      <sheetName val="#24"/>
      <sheetName val="#39"/>
      <sheetName val="#40"/>
      <sheetName val="#41"/>
      <sheetName val="#66"/>
      <sheetName val="#65"/>
      <sheetName val="#69"/>
      <sheetName val="#71"/>
      <sheetName val="#89"/>
      <sheetName val="#92"/>
      <sheetName val="#129"/>
      <sheetName val="#20"/>
      <sheetName val="#28"/>
      <sheetName val="#29"/>
      <sheetName val="#30"/>
      <sheetName val="#36"/>
      <sheetName val="#43"/>
      <sheetName val="#52"/>
      <sheetName val="#57"/>
      <sheetName val="#58"/>
      <sheetName val="#95"/>
      <sheetName val="#109"/>
      <sheetName val="#130"/>
      <sheetName val="#131"/>
      <sheetName val="#132"/>
      <sheetName val="#01"/>
      <sheetName val="#09"/>
      <sheetName val="#11"/>
      <sheetName val="#26"/>
      <sheetName val="#34"/>
      <sheetName val="#55"/>
      <sheetName val="#68"/>
      <sheetName val="#76"/>
      <sheetName val="#77"/>
      <sheetName val="#79"/>
      <sheetName val="#102"/>
      <sheetName val="#127"/>
      <sheetName val="#134"/>
      <sheetName val="#02"/>
      <sheetName val="#03"/>
      <sheetName val="#05"/>
      <sheetName val="#08"/>
      <sheetName val="#25"/>
      <sheetName val="#47"/>
      <sheetName val="#67"/>
      <sheetName val="#72"/>
      <sheetName val="#73"/>
      <sheetName val="#103"/>
      <sheetName val="#136"/>
      <sheetName val="#128"/>
      <sheetName val="#63"/>
      <sheetName val="#84"/>
      <sheetName val="#85"/>
      <sheetName val="#86"/>
      <sheetName val="#61"/>
      <sheetName val="#93"/>
      <sheetName val="#59"/>
      <sheetName val="#113"/>
      <sheetName val="STAFF"/>
      <sheetName val="#06"/>
      <sheetName val="#07"/>
      <sheetName val="#12"/>
      <sheetName val="#14"/>
      <sheetName val="#19"/>
      <sheetName val="#22"/>
      <sheetName val="#31"/>
      <sheetName val="#35"/>
      <sheetName val="#37"/>
      <sheetName val="#38"/>
      <sheetName val="#46"/>
      <sheetName val="#121"/>
      <sheetName val="#60"/>
      <sheetName val="#62"/>
      <sheetName val="#70"/>
      <sheetName val="#78"/>
      <sheetName val="#87"/>
      <sheetName val="#91"/>
      <sheetName val="#94"/>
      <sheetName val="#96"/>
      <sheetName val="#99"/>
      <sheetName val="#100"/>
      <sheetName val="#104"/>
      <sheetName val="#105"/>
      <sheetName val="#106"/>
      <sheetName val="#107"/>
      <sheetName val="#112"/>
      <sheetName val="#118"/>
      <sheetName val="#119"/>
      <sheetName val="#120"/>
      <sheetName val="#123"/>
      <sheetName val="#124"/>
      <sheetName val="#125"/>
      <sheetName val="#126"/>
      <sheetName val="sEFONG"/>
      <sheetName val="All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M001</v>
          </cell>
          <cell r="C3" t="str">
            <v xml:space="preserve">Fresh Soursop 红毛榴莲 </v>
          </cell>
          <cell r="D3" t="str">
            <v>Singapore</v>
          </cell>
          <cell r="E3" t="str">
            <v>DO!</v>
          </cell>
          <cell r="F3" t="str">
            <v>5 KGS/包</v>
          </cell>
        </row>
        <row r="4">
          <cell r="B4" t="str">
            <v>M002</v>
          </cell>
          <cell r="C4" t="str">
            <v xml:space="preserve">Fresh Soursop 红毛榴莲 </v>
          </cell>
          <cell r="E4" t="str">
            <v>DO!</v>
          </cell>
          <cell r="F4" t="str">
            <v>5 KGS/桶</v>
          </cell>
        </row>
        <row r="5">
          <cell r="B5" t="str">
            <v>M003</v>
          </cell>
          <cell r="C5" t="str">
            <v>Fresh Soursop 红毛榴莲(无)</v>
          </cell>
          <cell r="E5" t="str">
            <v>DO!</v>
          </cell>
          <cell r="F5" t="str">
            <v>5 KGS/桶</v>
          </cell>
        </row>
        <row r="6">
          <cell r="B6" t="str">
            <v>M004</v>
          </cell>
          <cell r="C6" t="str">
            <v xml:space="preserve">Fresh Soursop 红毛榴莲 </v>
          </cell>
          <cell r="E6" t="str">
            <v>DO!</v>
          </cell>
          <cell r="F6" t="str">
            <v>5 KGS/白桶</v>
          </cell>
        </row>
        <row r="7">
          <cell r="B7" t="str">
            <v>M005</v>
          </cell>
          <cell r="C7" t="str">
            <v>Fresh Soursop 红毛榴莲(无)</v>
          </cell>
          <cell r="E7" t="str">
            <v>DO!</v>
          </cell>
          <cell r="F7" t="str">
            <v>盒</v>
          </cell>
        </row>
        <row r="8">
          <cell r="B8" t="str">
            <v>M006</v>
          </cell>
          <cell r="C8" t="str">
            <v>Durian Puree 榴莲</v>
          </cell>
          <cell r="E8" t="str">
            <v>DO!</v>
          </cell>
          <cell r="F8" t="str">
            <v>盒</v>
          </cell>
        </row>
        <row r="9">
          <cell r="B9" t="str">
            <v>M007</v>
          </cell>
          <cell r="C9" t="str">
            <v>Mango Puree芒果</v>
          </cell>
          <cell r="E9" t="str">
            <v>DO!</v>
          </cell>
          <cell r="F9" t="str">
            <v>盒</v>
          </cell>
        </row>
        <row r="10">
          <cell r="B10" t="str">
            <v>M008</v>
          </cell>
          <cell r="C10" t="str">
            <v>Strawberry Puree草莓</v>
          </cell>
          <cell r="E10" t="str">
            <v>DO!</v>
          </cell>
          <cell r="F10" t="str">
            <v>盒</v>
          </cell>
        </row>
        <row r="11">
          <cell r="B11" t="str">
            <v>M009</v>
          </cell>
          <cell r="C11" t="str">
            <v>Guava Puree番石榴</v>
          </cell>
          <cell r="E11" t="str">
            <v>DO!</v>
          </cell>
          <cell r="F11" t="str">
            <v>盒</v>
          </cell>
        </row>
        <row r="12">
          <cell r="B12" t="str">
            <v>M010</v>
          </cell>
          <cell r="C12" t="str">
            <v>KIWI Syrup 奇异果</v>
          </cell>
          <cell r="E12" t="str">
            <v>DO!</v>
          </cell>
          <cell r="F12" t="str">
            <v>盒</v>
          </cell>
        </row>
        <row r="13">
          <cell r="B13" t="str">
            <v>M011</v>
          </cell>
          <cell r="C13" t="str">
            <v>Avocodo 鳄梨酱</v>
          </cell>
          <cell r="E13" t="str">
            <v>-</v>
          </cell>
          <cell r="F13" t="str">
            <v>盒</v>
          </cell>
        </row>
        <row r="14">
          <cell r="B14" t="str">
            <v>M012</v>
          </cell>
          <cell r="C14" t="str">
            <v>Blueberry 蓝莓酱</v>
          </cell>
          <cell r="E14" t="str">
            <v>-</v>
          </cell>
          <cell r="F14" t="str">
            <v>盒</v>
          </cell>
        </row>
        <row r="15">
          <cell r="B15" t="str">
            <v>M013</v>
          </cell>
          <cell r="C15" t="str">
            <v>Passion Fruit Jam 百香果</v>
          </cell>
          <cell r="E15" t="str">
            <v>-</v>
          </cell>
          <cell r="F15" t="str">
            <v>盒</v>
          </cell>
        </row>
        <row r="16">
          <cell r="B16" t="str">
            <v>M014</v>
          </cell>
          <cell r="C16" t="str">
            <v>Green Apple Jam  青苹果</v>
          </cell>
          <cell r="E16" t="str">
            <v>-</v>
          </cell>
          <cell r="F16" t="str">
            <v>盒</v>
          </cell>
        </row>
        <row r="17">
          <cell r="B17" t="str">
            <v>M015</v>
          </cell>
          <cell r="C17" t="str">
            <v>Honey Pearl - Black 蜜糖珍珠</v>
          </cell>
          <cell r="D17" t="str">
            <v>Singapore</v>
          </cell>
          <cell r="E17" t="str">
            <v>-</v>
          </cell>
          <cell r="F17" t="str">
            <v>黑/Bag</v>
          </cell>
        </row>
        <row r="18">
          <cell r="B18" t="str">
            <v>M016</v>
          </cell>
          <cell r="C18" t="str">
            <v>Magic Pop Ball - Mango</v>
          </cell>
          <cell r="D18" t="str">
            <v>Taiwan</v>
          </cell>
          <cell r="E18" t="str">
            <v>-</v>
          </cell>
          <cell r="F18" t="str">
            <v>橙/Bag</v>
          </cell>
        </row>
        <row r="19">
          <cell r="B19" t="str">
            <v>M016A</v>
          </cell>
          <cell r="C19" t="str">
            <v>Magic Pop Ball - Strawberry</v>
          </cell>
          <cell r="D19" t="str">
            <v>Taiwan</v>
          </cell>
          <cell r="E19" t="str">
            <v>-</v>
          </cell>
          <cell r="F19" t="str">
            <v>红/Bag</v>
          </cell>
        </row>
        <row r="20">
          <cell r="B20" t="str">
            <v>M016B</v>
          </cell>
          <cell r="C20" t="str">
            <v>Magic Pop Ball - Lychee</v>
          </cell>
          <cell r="D20" t="str">
            <v>Taiwan</v>
          </cell>
          <cell r="E20" t="str">
            <v>-</v>
          </cell>
          <cell r="F20" t="str">
            <v>白/Bag</v>
          </cell>
        </row>
        <row r="21">
          <cell r="B21" t="str">
            <v>M018</v>
          </cell>
          <cell r="C21" t="str">
            <v>Q Ball Q圆</v>
          </cell>
          <cell r="E21" t="str">
            <v>-</v>
          </cell>
          <cell r="F21" t="str">
            <v>1 KGS/包</v>
          </cell>
        </row>
        <row r="22">
          <cell r="B22" t="str">
            <v>M019</v>
          </cell>
          <cell r="C22" t="str">
            <v>3Q Jelly</v>
          </cell>
          <cell r="D22" t="str">
            <v>Taiwan</v>
          </cell>
          <cell r="E22" t="str">
            <v>-</v>
          </cell>
          <cell r="F22" t="str">
            <v>4 KGS/缶</v>
          </cell>
        </row>
        <row r="23">
          <cell r="B23" t="str">
            <v>M020</v>
          </cell>
          <cell r="C23" t="str">
            <v>Bobo Cha Cubes.摩摩喳喳</v>
          </cell>
          <cell r="E23" t="str">
            <v>DO!</v>
          </cell>
          <cell r="F23" t="str">
            <v>1 KGS/包</v>
          </cell>
        </row>
        <row r="24">
          <cell r="B24" t="str">
            <v>M021</v>
          </cell>
          <cell r="C24" t="str">
            <v>Chendol浆咯</v>
          </cell>
          <cell r="E24" t="str">
            <v>DO!</v>
          </cell>
          <cell r="F24" t="str">
            <v>3 kgs</v>
          </cell>
        </row>
        <row r="25">
          <cell r="B25" t="str">
            <v>M021A</v>
          </cell>
          <cell r="C25" t="str">
            <v>Chendol浆咯</v>
          </cell>
          <cell r="E25" t="str">
            <v>TSM</v>
          </cell>
          <cell r="F25" t="str">
            <v>3 kgs</v>
          </cell>
        </row>
        <row r="26">
          <cell r="B26" t="str">
            <v>M022</v>
          </cell>
          <cell r="C26" t="str">
            <v>Coconut Suger Syrup 椰糖浆</v>
          </cell>
          <cell r="E26" t="str">
            <v>DO!</v>
          </cell>
          <cell r="F26" t="str">
            <v>4L/支</v>
          </cell>
        </row>
        <row r="27">
          <cell r="B27" t="str">
            <v>M023</v>
          </cell>
          <cell r="C27" t="str">
            <v>Coconut Suger Syrup 椰糖浆-G</v>
          </cell>
          <cell r="E27" t="str">
            <v>DO!</v>
          </cell>
          <cell r="F27" t="str">
            <v>4L/支</v>
          </cell>
        </row>
        <row r="28">
          <cell r="B28" t="str">
            <v>M024</v>
          </cell>
          <cell r="C28" t="str">
            <v>Pong Thai Hai (Wet) 碰大海</v>
          </cell>
          <cell r="E28" t="str">
            <v>DO!</v>
          </cell>
          <cell r="F28" t="str">
            <v>1KG</v>
          </cell>
        </row>
        <row r="29">
          <cell r="B29" t="str">
            <v>M025</v>
          </cell>
          <cell r="C29" t="str">
            <v>Atap Seeds in Syrup亚嗒子</v>
          </cell>
          <cell r="E29" t="str">
            <v>DO!</v>
          </cell>
          <cell r="F29" t="str">
            <v>凈重: 2.2 KGS</v>
          </cell>
        </row>
        <row r="30">
          <cell r="B30" t="str">
            <v>M025K</v>
          </cell>
          <cell r="C30" t="str">
            <v>Atap Seeds in Syrup亚嗒子</v>
          </cell>
          <cell r="E30" t="str">
            <v>DO!</v>
          </cell>
          <cell r="F30" t="str">
            <v>NET WT: 2 KGS</v>
          </cell>
        </row>
        <row r="31">
          <cell r="B31" t="str">
            <v>M025S</v>
          </cell>
          <cell r="C31" t="str">
            <v>Atap Seeds in Syrup亚嗒子</v>
          </cell>
          <cell r="E31" t="str">
            <v>DO!</v>
          </cell>
          <cell r="F31" t="str">
            <v>200:100</v>
          </cell>
        </row>
        <row r="32">
          <cell r="B32" t="str">
            <v>M026</v>
          </cell>
          <cell r="C32" t="str">
            <v>Tadpole蝌蚪</v>
          </cell>
          <cell r="E32" t="str">
            <v>-</v>
          </cell>
          <cell r="F32" t="str">
            <v>1 kg</v>
          </cell>
        </row>
        <row r="33">
          <cell r="B33" t="str">
            <v>M027</v>
          </cell>
          <cell r="C33" t="str">
            <v>Chin Chow  仙 草</v>
          </cell>
          <cell r="E33" t="str">
            <v>-</v>
          </cell>
          <cell r="F33" t="str">
            <v>5KGS/PKT</v>
          </cell>
        </row>
        <row r="34">
          <cell r="B34" t="str">
            <v>M028</v>
          </cell>
          <cell r="C34" t="str">
            <v>Almond Power 杏仁粉 - white</v>
          </cell>
          <cell r="E34" t="str">
            <v>110088/5</v>
          </cell>
          <cell r="F34" t="str">
            <v>140gm x 10 pkt</v>
          </cell>
        </row>
        <row r="35">
          <cell r="B35" t="str">
            <v>M029</v>
          </cell>
          <cell r="C35" t="str">
            <v>Almond Power 杏仁粉 - Yelow</v>
          </cell>
          <cell r="E35" t="str">
            <v>PH</v>
          </cell>
          <cell r="F35" t="str">
            <v>150gm x 10 pkt</v>
          </cell>
        </row>
        <row r="36">
          <cell r="B36" t="str">
            <v>M030</v>
          </cell>
          <cell r="C36" t="str">
            <v>Almond Power 杏仁粉 - Yelow</v>
          </cell>
          <cell r="E36" t="str">
            <v>PH</v>
          </cell>
          <cell r="F36" t="str">
            <v>150gm x 4pkt</v>
          </cell>
        </row>
        <row r="37">
          <cell r="B37" t="str">
            <v>M031</v>
          </cell>
          <cell r="C37" t="str">
            <v>Lemongrass Ginger Concentrate Juice 香茅姜汁</v>
          </cell>
          <cell r="F37" t="str">
            <v>80 GMS/PK</v>
          </cell>
        </row>
        <row r="38">
          <cell r="B38" t="str">
            <v>M032</v>
          </cell>
          <cell r="C38" t="str">
            <v>Passion Fruit Concentrate Juice 百香果汁</v>
          </cell>
          <cell r="F38" t="str">
            <v>100 GMS/PKT</v>
          </cell>
        </row>
        <row r="39">
          <cell r="B39" t="str">
            <v>M033</v>
          </cell>
          <cell r="C39" t="str">
            <v>Citrus Plum Concentrate Juice 柑桔梅子汁</v>
          </cell>
          <cell r="F39" t="str">
            <v>80 GMS/PK</v>
          </cell>
        </row>
        <row r="40">
          <cell r="B40" t="str">
            <v>M034</v>
          </cell>
          <cell r="C40" t="str">
            <v>Sweet Potato Q - Orange番薯粉圆</v>
          </cell>
          <cell r="F40" t="str">
            <v>500 GMS/pkt</v>
          </cell>
        </row>
        <row r="41">
          <cell r="B41" t="str">
            <v>M034A</v>
          </cell>
          <cell r="C41" t="str">
            <v>Sweet Potato Q - Purple紫番薯粉圆</v>
          </cell>
          <cell r="F41" t="str">
            <v>500 GMS/pkt</v>
          </cell>
        </row>
        <row r="42">
          <cell r="B42" t="str">
            <v>M035</v>
          </cell>
          <cell r="C42" t="str">
            <v>Taro Q - White芋头粉圆</v>
          </cell>
          <cell r="F42" t="str">
            <v>500 GMS/pkt</v>
          </cell>
        </row>
        <row r="43">
          <cell r="B43" t="str">
            <v>M036</v>
          </cell>
          <cell r="C43" t="str">
            <v>Tapioca Q - Green-木薯粉圆</v>
          </cell>
          <cell r="F43" t="str">
            <v>500 GMS/pkt</v>
          </cell>
        </row>
        <row r="44">
          <cell r="B44" t="str">
            <v>M037</v>
          </cell>
          <cell r="C44" t="str">
            <v>GLASSJELLY 罗汉仙草冻</v>
          </cell>
          <cell r="F44" t="str">
            <v>1k/BOX</v>
          </cell>
        </row>
        <row r="48">
          <cell r="B48" t="str">
            <v>P001</v>
          </cell>
          <cell r="C48" t="str">
            <v>Chin Chow powder 仙 草粉</v>
          </cell>
          <cell r="E48" t="str">
            <v>-</v>
          </cell>
          <cell r="F48" t="str">
            <v>2 kgs</v>
          </cell>
        </row>
        <row r="49">
          <cell r="B49" t="str">
            <v>P001A</v>
          </cell>
          <cell r="C49" t="str">
            <v>Chin Chow powder 仙 草粉</v>
          </cell>
          <cell r="E49" t="str">
            <v>-</v>
          </cell>
          <cell r="F49" t="str">
            <v>500 GM</v>
          </cell>
        </row>
        <row r="50">
          <cell r="B50" t="str">
            <v>P002</v>
          </cell>
          <cell r="C50" t="str">
            <v>Jelly Powder 文头雪粉</v>
          </cell>
          <cell r="E50" t="str">
            <v>500/4000</v>
          </cell>
          <cell r="F50" t="str">
            <v>1 kg</v>
          </cell>
        </row>
        <row r="51">
          <cell r="B51" t="str">
            <v>P003</v>
          </cell>
          <cell r="C51" t="str">
            <v>Jelly Powder 文头雪粉</v>
          </cell>
          <cell r="E51" t="str">
            <v>500/4000</v>
          </cell>
          <cell r="F51" t="str">
            <v>42gm x 10PKT/Bag</v>
          </cell>
        </row>
        <row r="52">
          <cell r="B52" t="str">
            <v>P004</v>
          </cell>
          <cell r="C52" t="str">
            <v>Agar Powder菜燕粉</v>
          </cell>
          <cell r="E52" t="str">
            <v>No 1</v>
          </cell>
          <cell r="F52" t="str">
            <v>45 gms x 10PKT/Bag</v>
          </cell>
        </row>
        <row r="53">
          <cell r="B53" t="str">
            <v>P005</v>
          </cell>
          <cell r="C53" t="str">
            <v>Agar Powder菜燕粉</v>
          </cell>
          <cell r="E53" t="str">
            <v>No 1</v>
          </cell>
          <cell r="F53" t="str">
            <v>1 kg</v>
          </cell>
        </row>
        <row r="54">
          <cell r="B54" t="str">
            <v>P006</v>
          </cell>
          <cell r="C54" t="str">
            <v>Agar Powder菜燕粉</v>
          </cell>
          <cell r="E54" t="str">
            <v>Rose</v>
          </cell>
          <cell r="F54" t="str">
            <v>(12g x 12pkt)/盒</v>
          </cell>
        </row>
        <row r="55">
          <cell r="B55" t="str">
            <v>P007</v>
          </cell>
          <cell r="C55" t="str">
            <v>Agar Strip 菜燕条</v>
          </cell>
          <cell r="E55" t="str">
            <v>-</v>
          </cell>
          <cell r="F55" t="str">
            <v>1 kg</v>
          </cell>
        </row>
        <row r="56">
          <cell r="B56" t="str">
            <v>P008</v>
          </cell>
          <cell r="C56" t="str">
            <v>Mango Pudding Power 芒果布丁</v>
          </cell>
          <cell r="E56" t="str">
            <v>-</v>
          </cell>
          <cell r="F56" t="str">
            <v>10PKT/BAG</v>
          </cell>
        </row>
        <row r="57">
          <cell r="B57" t="str">
            <v>P009</v>
          </cell>
          <cell r="C57" t="str">
            <v>杏仁粉- Yellow- Jelly A</v>
          </cell>
          <cell r="E57" t="str">
            <v>500/4000</v>
          </cell>
          <cell r="F57" t="str">
            <v>30gm/pkt x 10PKT</v>
          </cell>
        </row>
        <row r="58">
          <cell r="B58" t="str">
            <v>P010</v>
          </cell>
          <cell r="C58" t="str">
            <v>Almond Power-White 杏仁粉</v>
          </cell>
          <cell r="E58" t="str">
            <v>110088/5</v>
          </cell>
          <cell r="F58" t="str">
            <v>1 kg</v>
          </cell>
        </row>
        <row r="59">
          <cell r="B59" t="str">
            <v>P011</v>
          </cell>
          <cell r="C59" t="str">
            <v>Selaseh (Basil Seed) 青蛙蛋</v>
          </cell>
          <cell r="E59" t="str">
            <v>Tukhmaria</v>
          </cell>
          <cell r="F59" t="str">
            <v>500 gm</v>
          </cell>
        </row>
        <row r="60">
          <cell r="B60" t="str">
            <v>P012</v>
          </cell>
          <cell r="C60" t="str">
            <v>GingKo Nut (Peel off)白果仁</v>
          </cell>
          <cell r="E60" t="str">
            <v>-</v>
          </cell>
          <cell r="F60" t="str">
            <v>1 kg</v>
          </cell>
        </row>
        <row r="61">
          <cell r="B61" t="str">
            <v>P013</v>
          </cell>
          <cell r="C61" t="str">
            <v>Cream Corn玉米浆</v>
          </cell>
          <cell r="E61" t="str">
            <v>Statue</v>
          </cell>
          <cell r="F61" t="str">
            <v>425g/Canx 12</v>
          </cell>
        </row>
        <row r="62">
          <cell r="B62" t="str">
            <v>P014</v>
          </cell>
          <cell r="C62" t="str">
            <v>Whole Corn玉米粒</v>
          </cell>
          <cell r="E62" t="str">
            <v>statue</v>
          </cell>
          <cell r="F62" t="str">
            <v>410G/Canx 12</v>
          </cell>
        </row>
        <row r="63">
          <cell r="B63" t="str">
            <v>P016</v>
          </cell>
          <cell r="C63" t="str">
            <v>Carnation Milk淡奶水</v>
          </cell>
          <cell r="E63" t="str">
            <v>Marigo牛</v>
          </cell>
          <cell r="F63" t="str">
            <v>405gm/can/罐</v>
          </cell>
        </row>
        <row r="64">
          <cell r="B64" t="str">
            <v>P017</v>
          </cell>
          <cell r="C64" t="str">
            <v>Condnation Milk 练奶</v>
          </cell>
          <cell r="E64" t="str">
            <v>Dawn牛</v>
          </cell>
          <cell r="F64" t="str">
            <v>385gm/can/罐</v>
          </cell>
        </row>
        <row r="65">
          <cell r="B65" t="str">
            <v>P018</v>
          </cell>
          <cell r="C65" t="str">
            <v>Sea Coconut海底椰</v>
          </cell>
          <cell r="E65" t="str">
            <v>Golden Champ</v>
          </cell>
          <cell r="F65" t="str">
            <v>1 Can X A10</v>
          </cell>
        </row>
        <row r="66">
          <cell r="B66" t="str">
            <v>P018A</v>
          </cell>
          <cell r="C66" t="str">
            <v>Sea Coconut海底椰</v>
          </cell>
          <cell r="E66" t="str">
            <v>Golden Boy</v>
          </cell>
          <cell r="F66" t="str">
            <v>1 Can X A10</v>
          </cell>
        </row>
        <row r="67">
          <cell r="B67" t="str">
            <v>P019</v>
          </cell>
          <cell r="C67" t="str">
            <v>Sea Coconut海底椰</v>
          </cell>
          <cell r="E67" t="str">
            <v>Chefs</v>
          </cell>
          <cell r="F67" t="str">
            <v>1 Can X A10</v>
          </cell>
        </row>
        <row r="68">
          <cell r="B68" t="str">
            <v>P020</v>
          </cell>
          <cell r="C68" t="str">
            <v>Nata De Coco椰果芊 15mm</v>
          </cell>
          <cell r="E68" t="str">
            <v>Coco</v>
          </cell>
          <cell r="F68" t="str">
            <v>1 Can X A10</v>
          </cell>
        </row>
        <row r="69">
          <cell r="B69" t="str">
            <v>P021</v>
          </cell>
          <cell r="C69" t="str">
            <v>Nata De Coco椰果芊 0.5 x 0.5</v>
          </cell>
          <cell r="E69" t="str">
            <v>Coco</v>
          </cell>
          <cell r="F69" t="str">
            <v>1 Can X A10</v>
          </cell>
        </row>
        <row r="70">
          <cell r="B70" t="str">
            <v>P022</v>
          </cell>
          <cell r="C70" t="str">
            <v>Aloe Vera芦荟 10mm</v>
          </cell>
          <cell r="E70" t="str">
            <v>-</v>
          </cell>
          <cell r="F70" t="str">
            <v>1 Can X A10</v>
          </cell>
        </row>
        <row r="71">
          <cell r="B71" t="str">
            <v>P023</v>
          </cell>
          <cell r="C71" t="str">
            <v>Water Chestnut (Can) 马蹄</v>
          </cell>
          <cell r="E71" t="str">
            <v>-</v>
          </cell>
          <cell r="F71" t="str">
            <v>12 Can/Ctn</v>
          </cell>
        </row>
        <row r="72">
          <cell r="B72" t="str">
            <v>P024</v>
          </cell>
          <cell r="C72" t="str">
            <v>Canned Red Bean 罐头 红豆</v>
          </cell>
          <cell r="E72" t="str">
            <v>-</v>
          </cell>
          <cell r="F72" t="str">
            <v xml:space="preserve">3.3KG/Can </v>
          </cell>
        </row>
        <row r="73">
          <cell r="B73" t="str">
            <v>P025</v>
          </cell>
          <cell r="C73" t="str">
            <v>Coconut Milk 椰浆</v>
          </cell>
          <cell r="E73" t="str">
            <v>-</v>
          </cell>
          <cell r="F73" t="str">
            <v>1 kg</v>
          </cell>
        </row>
        <row r="74">
          <cell r="B74" t="str">
            <v>P026</v>
          </cell>
          <cell r="C74" t="str">
            <v>Coco Syrup 可可</v>
          </cell>
          <cell r="E74" t="str">
            <v>Hershey's</v>
          </cell>
          <cell r="F74" t="str">
            <v>1 Btl</v>
          </cell>
        </row>
        <row r="75">
          <cell r="B75" t="str">
            <v>P027</v>
          </cell>
          <cell r="C75" t="str">
            <v>Red Bean红豆 (5.5 mm)</v>
          </cell>
          <cell r="E75" t="str">
            <v>-</v>
          </cell>
          <cell r="F75" t="str">
            <v>5 kgs</v>
          </cell>
        </row>
        <row r="76">
          <cell r="B76" t="str">
            <v>P027A</v>
          </cell>
          <cell r="C76" t="str">
            <v>Red Bean红豆</v>
          </cell>
          <cell r="E76" t="str">
            <v>-</v>
          </cell>
          <cell r="F76" t="str">
            <v>4 kgs</v>
          </cell>
        </row>
        <row r="77">
          <cell r="B77" t="str">
            <v>P027B</v>
          </cell>
          <cell r="C77" t="str">
            <v>Red Bean红豆</v>
          </cell>
          <cell r="E77" t="str">
            <v>-</v>
          </cell>
          <cell r="F77" t="str">
            <v>3 kgs</v>
          </cell>
        </row>
        <row r="78">
          <cell r="B78" t="str">
            <v>P027S</v>
          </cell>
          <cell r="C78" t="str">
            <v>Red Bean红豆</v>
          </cell>
          <cell r="E78" t="str">
            <v>-</v>
          </cell>
          <cell r="F78" t="str">
            <v>500 GMS</v>
          </cell>
        </row>
        <row r="79">
          <cell r="B79" t="str">
            <v>P030</v>
          </cell>
          <cell r="C79" t="str">
            <v>Small Red Bean小红豆</v>
          </cell>
          <cell r="E79" t="str">
            <v>-</v>
          </cell>
          <cell r="F79" t="str">
            <v>5 kgs</v>
          </cell>
        </row>
        <row r="80">
          <cell r="B80" t="str">
            <v>P030A</v>
          </cell>
          <cell r="C80" t="str">
            <v>Small Red Bean小红豆</v>
          </cell>
          <cell r="E80" t="str">
            <v>-</v>
          </cell>
          <cell r="F80" t="str">
            <v>2.5 kgs</v>
          </cell>
        </row>
        <row r="81">
          <cell r="B81" t="str">
            <v>P031</v>
          </cell>
          <cell r="C81" t="str">
            <v>Kidney Bean 大红豆 (美国）</v>
          </cell>
          <cell r="E81" t="str">
            <v>-</v>
          </cell>
          <cell r="F81" t="str">
            <v>5 kgs</v>
          </cell>
        </row>
        <row r="82">
          <cell r="B82" t="str">
            <v>P032</v>
          </cell>
          <cell r="C82" t="str">
            <v>Chia Tao赤豆</v>
          </cell>
          <cell r="E82" t="str">
            <v>-</v>
          </cell>
          <cell r="F82" t="str">
            <v>5 kgs</v>
          </cell>
        </row>
        <row r="83">
          <cell r="B83" t="str">
            <v>P032S</v>
          </cell>
          <cell r="C83" t="str">
            <v>Chia Tao赤豆</v>
          </cell>
          <cell r="E83" t="str">
            <v>-</v>
          </cell>
          <cell r="F83" t="str">
            <v>300 GMS</v>
          </cell>
        </row>
        <row r="84">
          <cell r="B84" t="str">
            <v>P033</v>
          </cell>
          <cell r="C84" t="str">
            <v>Green Bean 绿豆</v>
          </cell>
          <cell r="E84" t="str">
            <v>-</v>
          </cell>
          <cell r="F84" t="str">
            <v>5 kgs</v>
          </cell>
        </row>
        <row r="85">
          <cell r="B85" t="str">
            <v>P033A</v>
          </cell>
          <cell r="C85" t="str">
            <v>Green Bean 绿豆</v>
          </cell>
          <cell r="E85" t="str">
            <v>-</v>
          </cell>
          <cell r="F85" t="str">
            <v>4 KGS</v>
          </cell>
        </row>
        <row r="86">
          <cell r="B86" t="str">
            <v>P033S</v>
          </cell>
          <cell r="C86" t="str">
            <v>Green Bean 绿豆</v>
          </cell>
          <cell r="E86" t="str">
            <v>-</v>
          </cell>
          <cell r="F86" t="str">
            <v>500 GMS</v>
          </cell>
        </row>
        <row r="87">
          <cell r="B87" t="str">
            <v>P035</v>
          </cell>
          <cell r="C87" t="str">
            <v>Split Green Mung Bean豆畔</v>
          </cell>
          <cell r="E87" t="str">
            <v>-</v>
          </cell>
          <cell r="F87" t="str">
            <v>5 KG</v>
          </cell>
        </row>
        <row r="88">
          <cell r="B88" t="str">
            <v>P035A</v>
          </cell>
          <cell r="C88" t="str">
            <v>Split Green Mung Bean豆畔</v>
          </cell>
          <cell r="E88" t="str">
            <v>-</v>
          </cell>
          <cell r="F88" t="str">
            <v>3 KG</v>
          </cell>
        </row>
        <row r="89">
          <cell r="B89" t="str">
            <v>P035B</v>
          </cell>
          <cell r="C89" t="str">
            <v>Split Green Mung Bean豆畔</v>
          </cell>
          <cell r="E89" t="str">
            <v>-</v>
          </cell>
          <cell r="F89" t="str">
            <v>2 kg</v>
          </cell>
        </row>
        <row r="90">
          <cell r="B90" t="str">
            <v>P035S</v>
          </cell>
          <cell r="C90" t="str">
            <v>Split Green Mung Bean豆畔</v>
          </cell>
          <cell r="E90" t="str">
            <v>SW Thailand</v>
          </cell>
          <cell r="F90" t="str">
            <v>500 gms</v>
          </cell>
        </row>
        <row r="91">
          <cell r="B91" t="str">
            <v>P037</v>
          </cell>
          <cell r="C91" t="str">
            <v>Black Glutinous Rice 黑糯米</v>
          </cell>
          <cell r="E91" t="str">
            <v>-</v>
          </cell>
          <cell r="F91" t="str">
            <v>5 kgs</v>
          </cell>
        </row>
        <row r="92">
          <cell r="B92" t="str">
            <v>P037A</v>
          </cell>
          <cell r="C92" t="str">
            <v>Black Glutinous Rice 黑糯米</v>
          </cell>
          <cell r="E92" t="str">
            <v>IN</v>
          </cell>
          <cell r="F92" t="str">
            <v>1 KG</v>
          </cell>
        </row>
        <row r="93">
          <cell r="B93" t="str">
            <v>P037S</v>
          </cell>
          <cell r="C93" t="str">
            <v>Black Glutinous Rice 黑糯米</v>
          </cell>
          <cell r="E93" t="str">
            <v>IN</v>
          </cell>
          <cell r="F93" t="str">
            <v>500 GMS</v>
          </cell>
        </row>
        <row r="94">
          <cell r="B94" t="str">
            <v>P039</v>
          </cell>
          <cell r="C94" t="str">
            <v>White Glutinous Rice白糯米</v>
          </cell>
          <cell r="E94" t="str">
            <v>-</v>
          </cell>
          <cell r="F94" t="str">
            <v>5 kgs</v>
          </cell>
        </row>
        <row r="95">
          <cell r="B95" t="str">
            <v>P039A</v>
          </cell>
          <cell r="C95" t="str">
            <v>White Glutinous Rice白糯米</v>
          </cell>
          <cell r="E95" t="str">
            <v>-</v>
          </cell>
          <cell r="F95" t="str">
            <v>1 kg</v>
          </cell>
        </row>
        <row r="96">
          <cell r="B96" t="str">
            <v>P039S</v>
          </cell>
          <cell r="C96" t="str">
            <v>White Glutinous Rice白糯米</v>
          </cell>
          <cell r="E96" t="str">
            <v>-</v>
          </cell>
          <cell r="F96" t="str">
            <v>500 GM</v>
          </cell>
        </row>
        <row r="97">
          <cell r="B97" t="str">
            <v>P041</v>
          </cell>
          <cell r="C97" t="str">
            <v>White Wheat 大麦</v>
          </cell>
          <cell r="E97" t="str">
            <v>-</v>
          </cell>
          <cell r="F97" t="str">
            <v>10PKT/BAG</v>
          </cell>
        </row>
        <row r="98">
          <cell r="B98" t="str">
            <v>P042</v>
          </cell>
          <cell r="C98" t="str">
            <v>Pearl Barley 薏米</v>
          </cell>
          <cell r="E98" t="str">
            <v>Holland</v>
          </cell>
          <cell r="F98" t="str">
            <v>5 kgs</v>
          </cell>
        </row>
        <row r="99">
          <cell r="B99" t="str">
            <v>P043</v>
          </cell>
          <cell r="C99" t="str">
            <v>Pearl Barley 薏米</v>
          </cell>
          <cell r="E99" t="str">
            <v>Holland</v>
          </cell>
          <cell r="F99" t="str">
            <v>1 kg</v>
          </cell>
        </row>
        <row r="100">
          <cell r="B100" t="str">
            <v>P042S</v>
          </cell>
          <cell r="C100" t="str">
            <v>Pearl Barley 薏米</v>
          </cell>
          <cell r="E100" t="str">
            <v>Holland</v>
          </cell>
          <cell r="F100" t="str">
            <v>300 GMS</v>
          </cell>
        </row>
        <row r="101">
          <cell r="B101" t="str">
            <v>P044</v>
          </cell>
          <cell r="C101" t="str">
            <v>Big Sago 大丸</v>
          </cell>
          <cell r="E101" t="str">
            <v>-</v>
          </cell>
          <cell r="F101" t="str">
            <v>5 kgs</v>
          </cell>
        </row>
        <row r="102">
          <cell r="B102" t="str">
            <v>P045</v>
          </cell>
          <cell r="C102" t="str">
            <v>Big Sago 大丸</v>
          </cell>
          <cell r="E102" t="str">
            <v>-</v>
          </cell>
          <cell r="F102" t="str">
            <v>1 kg</v>
          </cell>
        </row>
        <row r="103">
          <cell r="B103" t="str">
            <v>P045S</v>
          </cell>
          <cell r="C103" t="str">
            <v>Big Sago 大丸</v>
          </cell>
          <cell r="E103" t="str">
            <v>-</v>
          </cell>
          <cell r="F103" t="str">
            <v>200 GMS</v>
          </cell>
        </row>
        <row r="104">
          <cell r="B104" t="str">
            <v>P046</v>
          </cell>
          <cell r="C104" t="str">
            <v>Small Sago 小丸</v>
          </cell>
          <cell r="E104" t="str">
            <v>-</v>
          </cell>
          <cell r="F104" t="str">
            <v>5 kgs</v>
          </cell>
        </row>
        <row r="105">
          <cell r="B105" t="str">
            <v>P047</v>
          </cell>
          <cell r="C105" t="str">
            <v>Small Sago 小丸</v>
          </cell>
          <cell r="E105" t="str">
            <v>-</v>
          </cell>
          <cell r="F105" t="str">
            <v>1 kg</v>
          </cell>
        </row>
        <row r="106">
          <cell r="B106" t="str">
            <v>P047S</v>
          </cell>
          <cell r="C106" t="str">
            <v>Small Sago 小丸</v>
          </cell>
          <cell r="E106" t="str">
            <v>-</v>
          </cell>
          <cell r="F106" t="str">
            <v>200 GMS</v>
          </cell>
        </row>
        <row r="107">
          <cell r="B107" t="str">
            <v>P048</v>
          </cell>
          <cell r="C107" t="str">
            <v>Dried Longan 龙眼干</v>
          </cell>
          <cell r="E107" t="str">
            <v>TL</v>
          </cell>
          <cell r="F107" t="str">
            <v>1 kg</v>
          </cell>
        </row>
        <row r="108">
          <cell r="B108" t="str">
            <v>P048S</v>
          </cell>
          <cell r="C108" t="str">
            <v>Dried Longan 龙眼干</v>
          </cell>
          <cell r="E108" t="str">
            <v>TL</v>
          </cell>
          <cell r="F108" t="str">
            <v>500 GMS</v>
          </cell>
        </row>
        <row r="109">
          <cell r="B109" t="str">
            <v>P049</v>
          </cell>
          <cell r="C109" t="str">
            <v>Dried Longan 龙眼干</v>
          </cell>
          <cell r="E109" t="str">
            <v>中</v>
          </cell>
          <cell r="F109" t="str">
            <v>1 kg</v>
          </cell>
        </row>
        <row r="110">
          <cell r="B110" t="str">
            <v>P050</v>
          </cell>
          <cell r="C110" t="str">
            <v>Dried Longan (yellow) 果子肉</v>
          </cell>
          <cell r="E110" t="str">
            <v>TL</v>
          </cell>
          <cell r="F110" t="str">
            <v>1 kg</v>
          </cell>
        </row>
        <row r="111">
          <cell r="B111" t="str">
            <v>P051</v>
          </cell>
          <cell r="C111" t="str">
            <v>Fungus 黄木耳</v>
          </cell>
          <cell r="E111" t="str">
            <v>黄</v>
          </cell>
          <cell r="F111" t="str">
            <v>1 kg</v>
          </cell>
        </row>
        <row r="112">
          <cell r="B112" t="str">
            <v>P052</v>
          </cell>
          <cell r="C112" t="str">
            <v>White Fungus 白木耳朵</v>
          </cell>
          <cell r="E112" t="str">
            <v>白</v>
          </cell>
          <cell r="F112" t="str">
            <v>1 kg</v>
          </cell>
        </row>
        <row r="113">
          <cell r="B113" t="str">
            <v>P053</v>
          </cell>
          <cell r="C113" t="str">
            <v>Fungus黄 木耳朵</v>
          </cell>
          <cell r="E113" t="str">
            <v>黄</v>
          </cell>
          <cell r="F113" t="str">
            <v>1 kg</v>
          </cell>
        </row>
        <row r="114">
          <cell r="B114" t="str">
            <v>P054</v>
          </cell>
          <cell r="C114" t="str">
            <v>Lotus Seed 莲子(无）</v>
          </cell>
          <cell r="E114" t="str">
            <v>中</v>
          </cell>
          <cell r="F114" t="str">
            <v>1 kg</v>
          </cell>
        </row>
        <row r="115">
          <cell r="B115" t="str">
            <v>P054A</v>
          </cell>
          <cell r="C115" t="str">
            <v>Lotus Seed 莲子</v>
          </cell>
          <cell r="E115" t="str">
            <v>中</v>
          </cell>
          <cell r="F115" t="str">
            <v>1 kg</v>
          </cell>
        </row>
        <row r="116">
          <cell r="B116" t="str">
            <v>P054S</v>
          </cell>
          <cell r="C116" t="str">
            <v>Lotus Seed 莲子(无）</v>
          </cell>
          <cell r="E116" t="str">
            <v>中</v>
          </cell>
          <cell r="F116" t="str">
            <v>100 GMS</v>
          </cell>
        </row>
        <row r="117">
          <cell r="B117" t="str">
            <v>P055</v>
          </cell>
          <cell r="C117" t="str">
            <v>Red Date 红枣</v>
          </cell>
          <cell r="E117" t="str">
            <v>-</v>
          </cell>
          <cell r="F117" t="str">
            <v>1 kg</v>
          </cell>
        </row>
        <row r="118">
          <cell r="B118" t="str">
            <v>P055S</v>
          </cell>
          <cell r="C118" t="str">
            <v>Red Date 红枣</v>
          </cell>
          <cell r="E118" t="str">
            <v>-</v>
          </cell>
          <cell r="F118" t="str">
            <v>100 GMS</v>
          </cell>
        </row>
        <row r="119">
          <cell r="B119" t="str">
            <v>P056</v>
          </cell>
          <cell r="C119" t="str">
            <v>Dried Persimmon 柿子</v>
          </cell>
          <cell r="E119" t="str">
            <v>AA</v>
          </cell>
          <cell r="F119" t="str">
            <v>1 kg</v>
          </cell>
        </row>
        <row r="120">
          <cell r="B120" t="str">
            <v>P056S</v>
          </cell>
          <cell r="C120" t="str">
            <v>Dried Persimmon 柿子</v>
          </cell>
          <cell r="E120" t="str">
            <v>AA</v>
          </cell>
          <cell r="F120" t="str">
            <v>200 GMS</v>
          </cell>
        </row>
        <row r="121">
          <cell r="B121" t="str">
            <v>P057</v>
          </cell>
          <cell r="C121" t="str">
            <v>GingKo Nut白果粒</v>
          </cell>
          <cell r="E121" t="str">
            <v>-</v>
          </cell>
          <cell r="F121" t="str">
            <v>5 kgs</v>
          </cell>
        </row>
        <row r="122">
          <cell r="B122" t="str">
            <v>P058</v>
          </cell>
          <cell r="C122" t="str">
            <v>GingKo Nut白果粒</v>
          </cell>
          <cell r="E122" t="str">
            <v>-</v>
          </cell>
          <cell r="F122" t="str">
            <v>2kgs</v>
          </cell>
        </row>
        <row r="123">
          <cell r="B123" t="str">
            <v>P059</v>
          </cell>
          <cell r="C123" t="str">
            <v>Pong Thai Hai (Dry) 碰大海</v>
          </cell>
          <cell r="E123" t="str">
            <v>-</v>
          </cell>
          <cell r="F123" t="str">
            <v>1 kg</v>
          </cell>
        </row>
        <row r="124">
          <cell r="B124" t="str">
            <v>P060</v>
          </cell>
          <cell r="C124" t="str">
            <v>Bean Curd Sheet 腐竹</v>
          </cell>
          <cell r="E124" t="str">
            <v>丰</v>
          </cell>
          <cell r="F124" t="str">
            <v xml:space="preserve">150g/pkt </v>
          </cell>
        </row>
        <row r="125">
          <cell r="B125" t="str">
            <v>P061</v>
          </cell>
          <cell r="C125" t="str">
            <v>Bean Curd Sheet 腐竹</v>
          </cell>
          <cell r="E125" t="str">
            <v>生记</v>
          </cell>
          <cell r="F125" t="str">
            <v xml:space="preserve">150g/pkt </v>
          </cell>
        </row>
        <row r="126">
          <cell r="B126" t="str">
            <v>P061A</v>
          </cell>
          <cell r="C126" t="str">
            <v>Bean Curd Sheet 腐竹</v>
          </cell>
          <cell r="E126" t="str">
            <v>福</v>
          </cell>
          <cell r="F126" t="str">
            <v>120G/PKT</v>
          </cell>
        </row>
        <row r="127">
          <cell r="B127" t="str">
            <v>P062</v>
          </cell>
          <cell r="C127" t="str">
            <v>Sweeten Melon Strip冬瓜条</v>
          </cell>
          <cell r="E127" t="str">
            <v>Rabbit Brand</v>
          </cell>
          <cell r="F127" t="str">
            <v>3KGS/PKT</v>
          </cell>
        </row>
        <row r="128">
          <cell r="B128" t="str">
            <v>P062S</v>
          </cell>
          <cell r="C128" t="str">
            <v>Sweeten Melon Strip冬瓜条</v>
          </cell>
          <cell r="E128" t="str">
            <v>Rabbit Brand</v>
          </cell>
          <cell r="F128" t="str">
            <v>300 GMS</v>
          </cell>
        </row>
        <row r="129">
          <cell r="B129" t="str">
            <v>P063</v>
          </cell>
          <cell r="C129" t="str">
            <v>Wolfberry 枸杞子</v>
          </cell>
          <cell r="F129" t="str">
            <v>1 kg</v>
          </cell>
        </row>
        <row r="130">
          <cell r="B130" t="str">
            <v>P063S</v>
          </cell>
          <cell r="C130" t="str">
            <v>Wolfberry 枸杞子</v>
          </cell>
          <cell r="F130" t="str">
            <v>100 GMS</v>
          </cell>
        </row>
        <row r="131">
          <cell r="B131" t="str">
            <v>P064</v>
          </cell>
          <cell r="C131" t="str">
            <v>Peanut 花生</v>
          </cell>
          <cell r="E131" t="str">
            <v>-</v>
          </cell>
          <cell r="F131" t="str">
            <v>12.5 kgs</v>
          </cell>
        </row>
        <row r="132">
          <cell r="B132" t="str">
            <v>P065</v>
          </cell>
          <cell r="C132" t="str">
            <v>陈皮</v>
          </cell>
          <cell r="E132" t="str">
            <v>-</v>
          </cell>
          <cell r="F132" t="str">
            <v>1 kg</v>
          </cell>
        </row>
        <row r="133">
          <cell r="B133" t="str">
            <v>P065S</v>
          </cell>
          <cell r="C133" t="str">
            <v>陈皮</v>
          </cell>
          <cell r="E133" t="str">
            <v>-</v>
          </cell>
          <cell r="F133" t="str">
            <v>50GM X 10PKT</v>
          </cell>
        </row>
        <row r="134">
          <cell r="C134" t="str">
            <v>冰糖陈皮</v>
          </cell>
          <cell r="E134" t="str">
            <v>-</v>
          </cell>
          <cell r="F134" t="str">
            <v>38.5GM X 26PKT</v>
          </cell>
        </row>
        <row r="135">
          <cell r="B135" t="str">
            <v>P066</v>
          </cell>
          <cell r="C135" t="str">
            <v>Rock Suger冰糖</v>
          </cell>
          <cell r="E135" t="str">
            <v>-</v>
          </cell>
          <cell r="F135" t="str">
            <v>3 KGS/PKT</v>
          </cell>
        </row>
        <row r="136">
          <cell r="B136" t="str">
            <v>P066S</v>
          </cell>
          <cell r="C136" t="str">
            <v>Rock Suger冰糖</v>
          </cell>
          <cell r="E136" t="str">
            <v>-</v>
          </cell>
          <cell r="F136" t="str">
            <v>500 GMS</v>
          </cell>
        </row>
        <row r="137">
          <cell r="B137" t="str">
            <v>P067</v>
          </cell>
          <cell r="C137" t="str">
            <v>Brown Sugar 黑糖</v>
          </cell>
          <cell r="E137" t="str">
            <v>Star</v>
          </cell>
          <cell r="F137" t="str">
            <v>6 kgs</v>
          </cell>
        </row>
        <row r="138">
          <cell r="B138" t="str">
            <v>P067S</v>
          </cell>
          <cell r="C138" t="str">
            <v>Brown Sugar 黑糖</v>
          </cell>
          <cell r="E138" t="str">
            <v>Star</v>
          </cell>
          <cell r="F138" t="str">
            <v>1 KG</v>
          </cell>
        </row>
        <row r="139">
          <cell r="B139" t="str">
            <v>P068</v>
          </cell>
          <cell r="C139" t="str">
            <v>Red Sugar 赤糖</v>
          </cell>
          <cell r="E139" t="str">
            <v>Star</v>
          </cell>
          <cell r="F139" t="str">
            <v>6 kgs</v>
          </cell>
        </row>
        <row r="140">
          <cell r="B140" t="str">
            <v>P068S</v>
          </cell>
          <cell r="C140" t="str">
            <v>Red Sugar 赤糖</v>
          </cell>
          <cell r="E140" t="str">
            <v>Star</v>
          </cell>
          <cell r="F140" t="str">
            <v>1 KGS</v>
          </cell>
        </row>
        <row r="141">
          <cell r="B141" t="str">
            <v>P069</v>
          </cell>
          <cell r="C141" t="str">
            <v>Red Sugar 赤糖</v>
          </cell>
          <cell r="E141" t="str">
            <v>Star</v>
          </cell>
          <cell r="F141" t="str">
            <v>3 kgs</v>
          </cell>
        </row>
        <row r="142">
          <cell r="B142" t="str">
            <v>P070</v>
          </cell>
          <cell r="C142" t="str">
            <v>Fine Sugar 白糖</v>
          </cell>
          <cell r="E142" t="str">
            <v>-</v>
          </cell>
          <cell r="F142" t="str">
            <v>5 kgs</v>
          </cell>
        </row>
        <row r="143">
          <cell r="B143" t="str">
            <v>P071</v>
          </cell>
          <cell r="C143" t="str">
            <v>Fine Sugar 白糖</v>
          </cell>
          <cell r="E143" t="str">
            <v>-</v>
          </cell>
          <cell r="F143" t="str">
            <v>2 kgs</v>
          </cell>
        </row>
        <row r="144">
          <cell r="B144" t="str">
            <v>P071S</v>
          </cell>
          <cell r="C144" t="str">
            <v>Fine Sugar 白糖</v>
          </cell>
          <cell r="E144" t="str">
            <v>-</v>
          </cell>
          <cell r="F144" t="str">
            <v>1 KG</v>
          </cell>
        </row>
        <row r="145">
          <cell r="B145" t="str">
            <v>P072</v>
          </cell>
          <cell r="C145" t="str">
            <v>Fine Salt  幼盐</v>
          </cell>
          <cell r="E145" t="str">
            <v>-</v>
          </cell>
          <cell r="F145" t="str">
            <v>500 gms</v>
          </cell>
        </row>
        <row r="146">
          <cell r="B146" t="str">
            <v>P073</v>
          </cell>
          <cell r="C146" t="str">
            <v>SALT 盐</v>
          </cell>
          <cell r="E146" t="str">
            <v>-</v>
          </cell>
          <cell r="F146" t="str">
            <v>3 kgs</v>
          </cell>
        </row>
        <row r="147">
          <cell r="B147" t="str">
            <v>P074</v>
          </cell>
          <cell r="C147" t="str">
            <v>Sweet Potato Powder番薯粉</v>
          </cell>
          <cell r="E147" t="str">
            <v>-</v>
          </cell>
          <cell r="F147" t="str">
            <v>3 kgs</v>
          </cell>
        </row>
        <row r="148">
          <cell r="B148" t="str">
            <v>P075</v>
          </cell>
          <cell r="C148" t="str">
            <v>Sweet Potato Powder番薯粉</v>
          </cell>
          <cell r="E148" t="str">
            <v>-</v>
          </cell>
          <cell r="F148" t="str">
            <v>(500gm x 20Pkt)包</v>
          </cell>
        </row>
        <row r="149">
          <cell r="B149" t="str">
            <v>P076</v>
          </cell>
          <cell r="C149" t="str">
            <v>Tapioca Flour 茨粉</v>
          </cell>
          <cell r="E149" t="str">
            <v>F/man 飞人</v>
          </cell>
          <cell r="F149" t="str">
            <v xml:space="preserve">500gm/pkt </v>
          </cell>
        </row>
        <row r="150">
          <cell r="B150" t="str">
            <v>P077</v>
          </cell>
          <cell r="C150" t="str">
            <v>Potato Starch 风车粉</v>
          </cell>
          <cell r="E150" t="str">
            <v>Windmill</v>
          </cell>
          <cell r="F150" t="str">
            <v>5 kg</v>
          </cell>
        </row>
        <row r="151">
          <cell r="B151" t="str">
            <v>P078</v>
          </cell>
          <cell r="C151" t="str">
            <v>Tapioca木薯</v>
          </cell>
          <cell r="E151" t="str">
            <v>-</v>
          </cell>
          <cell r="F151" t="str">
            <v>1 kg</v>
          </cell>
        </row>
        <row r="152">
          <cell r="B152" t="str">
            <v>P079</v>
          </cell>
          <cell r="C152" t="str">
            <v>Sweet Potato 番薯</v>
          </cell>
          <cell r="E152" t="str">
            <v>-</v>
          </cell>
          <cell r="F152" t="str">
            <v>1 KG</v>
          </cell>
        </row>
        <row r="153">
          <cell r="B153" t="str">
            <v>P080</v>
          </cell>
          <cell r="C153" t="str">
            <v>Sweet Potato 番薯</v>
          </cell>
          <cell r="E153" t="str">
            <v>-</v>
          </cell>
          <cell r="F153" t="str">
            <v>10 kg</v>
          </cell>
        </row>
        <row r="154">
          <cell r="B154" t="str">
            <v>P081</v>
          </cell>
          <cell r="C154" t="str">
            <v>Sweet Potato 番薯</v>
          </cell>
          <cell r="E154" t="str">
            <v>-</v>
          </cell>
          <cell r="F154" t="str">
            <v>8 kgs</v>
          </cell>
        </row>
        <row r="155">
          <cell r="B155" t="str">
            <v>P082</v>
          </cell>
          <cell r="C155" t="str">
            <v>Yam 芋头</v>
          </cell>
          <cell r="E155" t="str">
            <v>-</v>
          </cell>
          <cell r="F155" t="str">
            <v>1 KG</v>
          </cell>
        </row>
        <row r="156">
          <cell r="B156" t="str">
            <v>P083</v>
          </cell>
          <cell r="C156" t="str">
            <v>Yam 芋头去皮</v>
          </cell>
          <cell r="E156" t="str">
            <v>-</v>
          </cell>
          <cell r="F156" t="str">
            <v>1 KG</v>
          </cell>
        </row>
        <row r="157">
          <cell r="B157" t="str">
            <v>P084</v>
          </cell>
          <cell r="C157" t="str">
            <v>Pandan Leaf 班兰叶</v>
          </cell>
          <cell r="E157" t="str">
            <v>-</v>
          </cell>
          <cell r="F157" t="str">
            <v>1 kg</v>
          </cell>
        </row>
        <row r="158">
          <cell r="B158" t="str">
            <v>P085</v>
          </cell>
          <cell r="C158" t="str">
            <v>Lime 酸甘</v>
          </cell>
          <cell r="E158" t="str">
            <v>-</v>
          </cell>
          <cell r="F158" t="str">
            <v>1 kg</v>
          </cell>
        </row>
        <row r="159">
          <cell r="B159" t="str">
            <v>P086</v>
          </cell>
          <cell r="C159" t="str">
            <v>Water Chestnut 马蹄</v>
          </cell>
          <cell r="E159" t="str">
            <v>-</v>
          </cell>
          <cell r="F159" t="str">
            <v>1kg</v>
          </cell>
        </row>
        <row r="160">
          <cell r="B160" t="str">
            <v>P087</v>
          </cell>
          <cell r="C160" t="str">
            <v>Water Chestnut 马蹄</v>
          </cell>
          <cell r="E160" t="str">
            <v>-</v>
          </cell>
          <cell r="F160" t="str">
            <v>4.5 kgs</v>
          </cell>
        </row>
        <row r="161">
          <cell r="B161" t="str">
            <v>P088</v>
          </cell>
          <cell r="C161" t="str">
            <v>Ginger 老姜</v>
          </cell>
          <cell r="E161" t="str">
            <v>-</v>
          </cell>
          <cell r="F161" t="str">
            <v>1 kg</v>
          </cell>
        </row>
        <row r="162">
          <cell r="B162" t="str">
            <v>P089</v>
          </cell>
          <cell r="C162" t="str">
            <v>Yu Tiao 油条</v>
          </cell>
          <cell r="E162" t="str">
            <v>-</v>
          </cell>
          <cell r="F162" t="str">
            <v>1 pc</v>
          </cell>
        </row>
        <row r="163">
          <cell r="B163" t="str">
            <v>P090</v>
          </cell>
          <cell r="C163" t="str">
            <v>Food Coloring - Liquid)颜色-水</v>
          </cell>
          <cell r="E163" t="str">
            <v>Red/红</v>
          </cell>
          <cell r="F163" t="str">
            <v>500 ML/BTL</v>
          </cell>
        </row>
        <row r="164">
          <cell r="B164" t="str">
            <v>P091</v>
          </cell>
          <cell r="C164" t="str">
            <v>Food Coloring - Liquid)颜色-水</v>
          </cell>
          <cell r="E164" t="str">
            <v>Black/黑</v>
          </cell>
          <cell r="F164" t="str">
            <v>500 ML/BTL</v>
          </cell>
        </row>
        <row r="165">
          <cell r="B165" t="str">
            <v>P092</v>
          </cell>
          <cell r="C165" t="str">
            <v>Food Coloring Powder  色粉</v>
          </cell>
          <cell r="E165" t="str">
            <v>Red</v>
          </cell>
          <cell r="F165" t="str">
            <v>400 gms</v>
          </cell>
        </row>
        <row r="166">
          <cell r="B166" t="str">
            <v>P093</v>
          </cell>
          <cell r="C166" t="str">
            <v>Potato Starch 风车粉</v>
          </cell>
          <cell r="E166" t="str">
            <v>-</v>
          </cell>
          <cell r="F166" t="str">
            <v>5 kg</v>
          </cell>
        </row>
        <row r="167">
          <cell r="B167" t="str">
            <v>P094</v>
          </cell>
          <cell r="C167" t="str">
            <v>GingKo Nut (Peel off)白果仁</v>
          </cell>
          <cell r="E167" t="str">
            <v>-</v>
          </cell>
          <cell r="F167" t="str">
            <v>(500 gm x 24)/箱</v>
          </cell>
        </row>
        <row r="168">
          <cell r="B168" t="str">
            <v>P095</v>
          </cell>
          <cell r="C168" t="str">
            <v>Food Coloring - Liquid)颜色-水</v>
          </cell>
          <cell r="E168" t="str">
            <v>Green/青</v>
          </cell>
          <cell r="F168" t="str">
            <v>500 ML/BTL</v>
          </cell>
        </row>
        <row r="169">
          <cell r="B169" t="str">
            <v>P096</v>
          </cell>
          <cell r="C169" t="str">
            <v>Food Coloring - Liquid)颜色-水</v>
          </cell>
          <cell r="E169" t="str">
            <v>Yellow/黄</v>
          </cell>
          <cell r="F169" t="str">
            <v>500 ML/BTL</v>
          </cell>
        </row>
        <row r="170">
          <cell r="B170" t="str">
            <v>P097</v>
          </cell>
          <cell r="C170" t="str">
            <v>Almond Power- Yellow- 杏仁粉</v>
          </cell>
        </row>
        <row r="171">
          <cell r="B171" t="str">
            <v>P098</v>
          </cell>
          <cell r="C171" t="str">
            <v>Food Coloring Powder  色粉</v>
          </cell>
          <cell r="E171" t="str">
            <v>Green青</v>
          </cell>
          <cell r="F171" t="str">
            <v>400 gms</v>
          </cell>
        </row>
        <row r="172">
          <cell r="B172" t="str">
            <v>P099</v>
          </cell>
          <cell r="C172" t="str">
            <v>Food Coloring Powder  色粉</v>
          </cell>
          <cell r="E172" t="str">
            <v>Yellow黄</v>
          </cell>
          <cell r="F172" t="str">
            <v>400 gms</v>
          </cell>
        </row>
        <row r="173">
          <cell r="B173" t="str">
            <v>P100</v>
          </cell>
          <cell r="C173" t="str">
            <v>BUTTERFLY PEAS</v>
          </cell>
          <cell r="E173" t="str">
            <v>-</v>
          </cell>
          <cell r="F173" t="str">
            <v>50 GMS</v>
          </cell>
        </row>
        <row r="174">
          <cell r="B174" t="str">
            <v>P101</v>
          </cell>
          <cell r="C174" t="str">
            <v>Peanut 花生</v>
          </cell>
          <cell r="E174" t="str">
            <v>-</v>
          </cell>
          <cell r="F174" t="str">
            <v>5 KGS</v>
          </cell>
        </row>
        <row r="175">
          <cell r="B175" t="str">
            <v>P102</v>
          </cell>
          <cell r="C175" t="str">
            <v>SODA ASH DENSE 枧粉</v>
          </cell>
        </row>
        <row r="176">
          <cell r="B176" t="str">
            <v>P102S</v>
          </cell>
          <cell r="C176" t="str">
            <v>SODA ASH DENSE 枧粉</v>
          </cell>
          <cell r="F176" t="str">
            <v>200 gms</v>
          </cell>
        </row>
        <row r="177">
          <cell r="B177" t="str">
            <v>P103</v>
          </cell>
          <cell r="C177" t="str">
            <v>GingKo Nut白果罐</v>
          </cell>
          <cell r="E177" t="str">
            <v>Mini</v>
          </cell>
          <cell r="F177" t="str">
            <v>(397gm x 12)/箱</v>
          </cell>
        </row>
        <row r="178">
          <cell r="B178" t="str">
            <v>P104</v>
          </cell>
          <cell r="C178" t="str">
            <v>Peanut 花生</v>
          </cell>
          <cell r="E178" t="str">
            <v>-</v>
          </cell>
          <cell r="F178" t="str">
            <v>5 KGS</v>
          </cell>
        </row>
        <row r="179">
          <cell r="B179" t="str">
            <v>P105</v>
          </cell>
          <cell r="C179" t="str">
            <v>Lotus Seed 莲子</v>
          </cell>
          <cell r="E179" t="str">
            <v>Fujian</v>
          </cell>
          <cell r="F179" t="str">
            <v>1 kg</v>
          </cell>
        </row>
        <row r="180">
          <cell r="B180" t="str">
            <v>P106</v>
          </cell>
          <cell r="C180" t="str">
            <v>SoyaBean 大黄豆</v>
          </cell>
          <cell r="E180" t="str">
            <v>－</v>
          </cell>
          <cell r="F180" t="str">
            <v>500 gms</v>
          </cell>
        </row>
        <row r="181">
          <cell r="B181" t="str">
            <v>P107</v>
          </cell>
          <cell r="C181" t="str">
            <v>Erawan Glutiuous Flour 糯米粉</v>
          </cell>
          <cell r="E181" t="str">
            <v>-</v>
          </cell>
          <cell r="F181" t="str">
            <v>600 gms x 20 bags</v>
          </cell>
        </row>
        <row r="182">
          <cell r="B182" t="str">
            <v>P108</v>
          </cell>
          <cell r="C182" t="str">
            <v>Groundnut Powder 花生粉</v>
          </cell>
          <cell r="F182" t="str">
            <v>1 kgs</v>
          </cell>
        </row>
        <row r="183">
          <cell r="B183" t="str">
            <v>P109</v>
          </cell>
          <cell r="C183" t="str">
            <v>BLACK BEAN 黑豆</v>
          </cell>
          <cell r="F183" t="str">
            <v>500 GMS</v>
          </cell>
        </row>
        <row r="184">
          <cell r="B184" t="str">
            <v>P110</v>
          </cell>
          <cell r="C184" t="str">
            <v>Coconut Sugar椰糖</v>
          </cell>
          <cell r="E184" t="str">
            <v>Malaysia</v>
          </cell>
          <cell r="F184" t="str">
            <v>2piece/bag</v>
          </cell>
        </row>
        <row r="188">
          <cell r="B188" t="str">
            <v>R001</v>
          </cell>
          <cell r="C188" t="str">
            <v>Atap Seeds in Syrup亚嗒子</v>
          </cell>
          <cell r="E188" t="str">
            <v>-</v>
          </cell>
          <cell r="F188" t="str">
            <v>20 kgs/tin</v>
          </cell>
        </row>
        <row r="189">
          <cell r="B189" t="str">
            <v>R002</v>
          </cell>
          <cell r="C189" t="str">
            <v>Sea Coconut海底椰</v>
          </cell>
          <cell r="E189" t="str">
            <v>MiLi</v>
          </cell>
          <cell r="F189" t="str">
            <v>(565gm x 12)/箱</v>
          </cell>
        </row>
        <row r="190">
          <cell r="B190" t="str">
            <v>R002A</v>
          </cell>
          <cell r="C190" t="str">
            <v>Sea Coconut海底椰</v>
          </cell>
          <cell r="E190" t="str">
            <v>MiLi</v>
          </cell>
          <cell r="F190" t="str">
            <v>(565gm x 6)/箱</v>
          </cell>
        </row>
        <row r="191">
          <cell r="B191" t="str">
            <v>R003</v>
          </cell>
          <cell r="C191" t="str">
            <v>Longan in Syrup龙眼</v>
          </cell>
          <cell r="E191" t="str">
            <v>YiFong</v>
          </cell>
          <cell r="F191" t="str">
            <v>(565gm x 12)/箱</v>
          </cell>
        </row>
        <row r="192">
          <cell r="B192" t="str">
            <v>R004</v>
          </cell>
          <cell r="C192" t="str">
            <v>Longan in Syrup龙眼</v>
          </cell>
          <cell r="E192" t="str">
            <v>MiLi</v>
          </cell>
          <cell r="F192" t="str">
            <v>(565gm x 12)/箱</v>
          </cell>
        </row>
        <row r="193">
          <cell r="B193" t="str">
            <v>R005</v>
          </cell>
          <cell r="C193" t="str">
            <v>Lychee in Syrup荔枝</v>
          </cell>
          <cell r="E193" t="str">
            <v>SK</v>
          </cell>
          <cell r="F193" t="str">
            <v>(567gm x 12)/箱</v>
          </cell>
        </row>
        <row r="194">
          <cell r="B194" t="str">
            <v>R006</v>
          </cell>
          <cell r="C194" t="str">
            <v>Lychee in Syrup荔枝</v>
          </cell>
          <cell r="E194" t="str">
            <v>MiLi</v>
          </cell>
          <cell r="F194" t="str">
            <v>12can/箱</v>
          </cell>
        </row>
        <row r="195">
          <cell r="B195" t="str">
            <v>R006A</v>
          </cell>
          <cell r="C195" t="str">
            <v>Lychee in Syrup荔枝</v>
          </cell>
          <cell r="E195" t="str">
            <v>YiFong</v>
          </cell>
          <cell r="F195" t="str">
            <v>24can/箱</v>
          </cell>
        </row>
        <row r="196">
          <cell r="B196" t="str">
            <v>R007</v>
          </cell>
          <cell r="C196" t="str">
            <v>Fruit Cocktail杂果</v>
          </cell>
          <cell r="E196" t="str">
            <v>Champ</v>
          </cell>
          <cell r="F196" t="str">
            <v>(820gm x 12)/箱</v>
          </cell>
        </row>
        <row r="197">
          <cell r="B197" t="str">
            <v>R008</v>
          </cell>
          <cell r="C197" t="str">
            <v>Fruit Cocktail杂果</v>
          </cell>
          <cell r="E197" t="str">
            <v>Statue</v>
          </cell>
          <cell r="F197" t="str">
            <v>(820gm x 12)/箱</v>
          </cell>
        </row>
        <row r="198">
          <cell r="B198" t="str">
            <v>R009</v>
          </cell>
          <cell r="C198" t="str">
            <v>Cream Corn玉米浆</v>
          </cell>
          <cell r="E198" t="str">
            <v>Statue</v>
          </cell>
          <cell r="F198" t="str">
            <v>(425gm x 24)/箱</v>
          </cell>
        </row>
        <row r="199">
          <cell r="B199" t="str">
            <v>R010</v>
          </cell>
          <cell r="C199" t="str">
            <v>Whole Corn玉米粒</v>
          </cell>
          <cell r="E199" t="str">
            <v>Statue</v>
          </cell>
          <cell r="F199" t="str">
            <v>(410gm x 24)/箱</v>
          </cell>
        </row>
        <row r="200">
          <cell r="B200" t="str">
            <v>R011</v>
          </cell>
          <cell r="C200" t="str">
            <v>Whole Corn玉米粒</v>
          </cell>
          <cell r="E200" t="str">
            <v>Champ</v>
          </cell>
          <cell r="F200" t="str">
            <v>(425gm x 24)/箱</v>
          </cell>
        </row>
        <row r="201">
          <cell r="B201" t="str">
            <v>R012</v>
          </cell>
          <cell r="C201" t="str">
            <v>Carnation Milk淡奶水</v>
          </cell>
          <cell r="E201" t="str">
            <v>三花</v>
          </cell>
          <cell r="F201" t="str">
            <v>Ctn/箱</v>
          </cell>
        </row>
        <row r="202">
          <cell r="B202" t="str">
            <v>R012A</v>
          </cell>
          <cell r="C202" t="str">
            <v>Carnation Milk淡奶水</v>
          </cell>
          <cell r="E202" t="str">
            <v>三花</v>
          </cell>
          <cell r="F202" t="str">
            <v>405gm/can/罐</v>
          </cell>
        </row>
        <row r="203">
          <cell r="B203" t="str">
            <v>R013</v>
          </cell>
          <cell r="C203" t="str">
            <v>Carnation Milk淡奶水</v>
          </cell>
          <cell r="E203" t="str">
            <v>Marigo牛</v>
          </cell>
          <cell r="F203" t="str">
            <v>Ctn/箱</v>
          </cell>
        </row>
        <row r="204">
          <cell r="B204" t="str">
            <v>R014</v>
          </cell>
          <cell r="C204" t="str">
            <v>Condnation Milk 练奶</v>
          </cell>
          <cell r="E204" t="str">
            <v>Dawn牛</v>
          </cell>
          <cell r="F204" t="str">
            <v>Ctn/箱</v>
          </cell>
        </row>
        <row r="205">
          <cell r="B205" t="str">
            <v>R015</v>
          </cell>
          <cell r="C205" t="str">
            <v>GingKo Nut白果罐</v>
          </cell>
          <cell r="E205" t="str">
            <v>MiLi</v>
          </cell>
          <cell r="F205" t="str">
            <v>(397gm x 24)/箱</v>
          </cell>
        </row>
        <row r="206">
          <cell r="B206" t="str">
            <v>R016</v>
          </cell>
          <cell r="C206" t="str">
            <v>Peach 桃畔</v>
          </cell>
          <cell r="E206" t="str">
            <v>Royal M</v>
          </cell>
          <cell r="F206" t="str">
            <v>12can/箱</v>
          </cell>
        </row>
        <row r="207">
          <cell r="B207" t="str">
            <v>R017</v>
          </cell>
          <cell r="C207" t="str">
            <v>Water Chestnut 马蹄 - Can</v>
          </cell>
          <cell r="E207" t="str">
            <v>MiLi</v>
          </cell>
          <cell r="F207" t="str">
            <v>(567gm x 24)/箱</v>
          </cell>
        </row>
        <row r="208">
          <cell r="B208" t="str">
            <v>R018</v>
          </cell>
          <cell r="C208" t="str">
            <v>Baked Beans茄汁豆</v>
          </cell>
          <cell r="E208" t="str">
            <v>Statue</v>
          </cell>
          <cell r="F208" t="str">
            <v>(425gm x 24)/箱</v>
          </cell>
        </row>
        <row r="209">
          <cell r="B209" t="str">
            <v>R019</v>
          </cell>
          <cell r="C209" t="str">
            <v>Chilli 辣椒酱</v>
          </cell>
          <cell r="E209" t="str">
            <v>-</v>
          </cell>
          <cell r="F209" t="str">
            <v>??</v>
          </cell>
        </row>
        <row r="210">
          <cell r="B210" t="str">
            <v>R020</v>
          </cell>
          <cell r="C210" t="str">
            <v>Coconut Milk 椰浆</v>
          </cell>
          <cell r="E210" t="str">
            <v>Kara UHT</v>
          </cell>
          <cell r="F210" t="str">
            <v>(1L x 12bag)/箱</v>
          </cell>
        </row>
        <row r="211">
          <cell r="B211" t="str">
            <v>R021</v>
          </cell>
          <cell r="C211" t="str">
            <v>Coconut Milk 椰浆</v>
          </cell>
          <cell r="E211" t="str">
            <v>Sin-ind</v>
          </cell>
          <cell r="F211" t="str">
            <v>(1L x 12bag)/箱</v>
          </cell>
        </row>
        <row r="212">
          <cell r="B212" t="str">
            <v>R022</v>
          </cell>
          <cell r="C212" t="str">
            <v>Coconut Milk 椰浆</v>
          </cell>
          <cell r="E212" t="str">
            <v>Kara UHT</v>
          </cell>
          <cell r="F212" t="str">
            <v>(200gm x 30bag)/箱</v>
          </cell>
        </row>
        <row r="213">
          <cell r="B213" t="str">
            <v>R023</v>
          </cell>
          <cell r="C213" t="str">
            <v>Lime Juice 柠檬汁</v>
          </cell>
          <cell r="E213" t="str">
            <v>-</v>
          </cell>
          <cell r="F213" t="str">
            <v>6 BOTTLE</v>
          </cell>
        </row>
        <row r="214">
          <cell r="B214" t="str">
            <v>R024</v>
          </cell>
          <cell r="C214" t="str">
            <v>Water Chestnut Juice 马蹄水</v>
          </cell>
          <cell r="E214" t="str">
            <v>-</v>
          </cell>
          <cell r="F214" t="str">
            <v>4 lt</v>
          </cell>
        </row>
        <row r="215">
          <cell r="B215" t="str">
            <v>R025</v>
          </cell>
          <cell r="C215" t="str">
            <v>Calamansi Juice 酸柑水</v>
          </cell>
          <cell r="E215" t="str">
            <v>-</v>
          </cell>
          <cell r="F215" t="str">
            <v>4 lt</v>
          </cell>
        </row>
        <row r="216">
          <cell r="B216" t="str">
            <v>R026</v>
          </cell>
          <cell r="C216" t="str">
            <v>Sour Plum Juice 酸梅水</v>
          </cell>
          <cell r="E216" t="str">
            <v>-</v>
          </cell>
          <cell r="F216" t="str">
            <v>4 lt</v>
          </cell>
        </row>
        <row r="217">
          <cell r="B217" t="str">
            <v>R027</v>
          </cell>
          <cell r="C217" t="str">
            <v>Rose Juice 玫瑰水</v>
          </cell>
          <cell r="E217" t="str">
            <v>-</v>
          </cell>
          <cell r="F217" t="str">
            <v>4 lt</v>
          </cell>
        </row>
        <row r="218">
          <cell r="B218" t="str">
            <v>R028</v>
          </cell>
          <cell r="C218" t="str">
            <v>Butter 牛油</v>
          </cell>
          <cell r="E218" t="str">
            <v>-</v>
          </cell>
          <cell r="F218" t="str">
            <v>1 box</v>
          </cell>
        </row>
        <row r="219">
          <cell r="B219" t="str">
            <v>R029</v>
          </cell>
          <cell r="C219" t="str">
            <v>Red Bean红豆</v>
          </cell>
          <cell r="E219" t="str">
            <v>-</v>
          </cell>
          <cell r="F219" t="str">
            <v>25 kgs/Bag</v>
          </cell>
        </row>
        <row r="220">
          <cell r="B220" t="str">
            <v>R030</v>
          </cell>
          <cell r="C220" t="str">
            <v>Green Bean 绿豆</v>
          </cell>
          <cell r="E220" t="str">
            <v>-</v>
          </cell>
          <cell r="F220" t="str">
            <v>25 kgs/Bag</v>
          </cell>
        </row>
        <row r="221">
          <cell r="B221" t="str">
            <v>R031</v>
          </cell>
          <cell r="C221" t="str">
            <v>Split Green Mung Bean豆畔</v>
          </cell>
          <cell r="E221" t="str">
            <v>TH/Lion</v>
          </cell>
          <cell r="F221" t="str">
            <v>30 kgs/bag</v>
          </cell>
        </row>
        <row r="222">
          <cell r="B222" t="str">
            <v>R032</v>
          </cell>
          <cell r="C222" t="str">
            <v>Split Green Mung Bean豆畔</v>
          </cell>
          <cell r="E222" t="str">
            <v>TH/Sw</v>
          </cell>
          <cell r="F222" t="str">
            <v>30kgs/bag</v>
          </cell>
        </row>
        <row r="223">
          <cell r="B223" t="str">
            <v>R033</v>
          </cell>
          <cell r="C223" t="str">
            <v>Black Glutinous Rice 黑糯米</v>
          </cell>
          <cell r="E223" t="str">
            <v>INDONESIA</v>
          </cell>
          <cell r="F223" t="str">
            <v>25 kgs/Bag</v>
          </cell>
        </row>
        <row r="224">
          <cell r="B224" t="str">
            <v>R034</v>
          </cell>
          <cell r="C224" t="str">
            <v>White Glutinous Rice白糯米</v>
          </cell>
          <cell r="E224" t="str">
            <v>Vietnam</v>
          </cell>
          <cell r="F224" t="str">
            <v>25 kgs/Bag</v>
          </cell>
        </row>
        <row r="225">
          <cell r="B225" t="str">
            <v>R035</v>
          </cell>
          <cell r="C225" t="str">
            <v>Sweeten Melon Strip冬瓜条</v>
          </cell>
          <cell r="E225" t="str">
            <v>Rabbit Brand</v>
          </cell>
          <cell r="F225" t="str">
            <v>3KGS/PKT x 10</v>
          </cell>
        </row>
        <row r="226">
          <cell r="B226" t="str">
            <v>R036</v>
          </cell>
          <cell r="C226" t="str">
            <v>Dried Longan 龙眼干</v>
          </cell>
          <cell r="E226" t="str">
            <v>中</v>
          </cell>
          <cell r="F226" t="str">
            <v>10 kgs/箱</v>
          </cell>
        </row>
        <row r="227">
          <cell r="B227" t="str">
            <v>R037</v>
          </cell>
          <cell r="C227" t="str">
            <v>Bean Curd Sheet 腐竹</v>
          </cell>
          <cell r="E227" t="str">
            <v xml:space="preserve">G </v>
          </cell>
          <cell r="F227" t="str">
            <v>150g/pkt x 10pkt x 4</v>
          </cell>
        </row>
        <row r="228">
          <cell r="B228" t="str">
            <v>R038</v>
          </cell>
          <cell r="C228" t="str">
            <v>Sour Plum 酸梅</v>
          </cell>
          <cell r="E228" t="str">
            <v>-</v>
          </cell>
          <cell r="F228" t="str">
            <v>2 kgs</v>
          </cell>
        </row>
        <row r="229">
          <cell r="B229" t="str">
            <v>R039</v>
          </cell>
          <cell r="C229" t="str">
            <v>Sour Plum 酸梅（无子）</v>
          </cell>
          <cell r="E229" t="str">
            <v>-</v>
          </cell>
          <cell r="F229" t="str">
            <v>1 kg</v>
          </cell>
        </row>
        <row r="230">
          <cell r="B230" t="str">
            <v>R040</v>
          </cell>
          <cell r="C230" t="str">
            <v>Colour Rice 七彩米</v>
          </cell>
          <cell r="E230" t="str">
            <v>-</v>
          </cell>
          <cell r="F230" t="str">
            <v>1kg</v>
          </cell>
        </row>
        <row r="231">
          <cell r="B231" t="str">
            <v>R041</v>
          </cell>
          <cell r="C231" t="str">
            <v>CoCo Rice 可可米</v>
          </cell>
          <cell r="E231" t="str">
            <v>-</v>
          </cell>
          <cell r="F231" t="str">
            <v>1kg</v>
          </cell>
        </row>
        <row r="232">
          <cell r="B232" t="str">
            <v>R042</v>
          </cell>
          <cell r="C232" t="str">
            <v xml:space="preserve"> Codral Weed 海草</v>
          </cell>
          <cell r="E232" t="str">
            <v>-</v>
          </cell>
          <cell r="F232" t="str">
            <v>1kg</v>
          </cell>
        </row>
        <row r="233">
          <cell r="B233" t="str">
            <v>R043</v>
          </cell>
          <cell r="C233" t="str">
            <v>Coconut Sugar椰糖</v>
          </cell>
          <cell r="E233" t="str">
            <v>2P</v>
          </cell>
          <cell r="F233" t="str">
            <v>10kgs/ctn</v>
          </cell>
        </row>
        <row r="234">
          <cell r="B234" t="str">
            <v>R044</v>
          </cell>
          <cell r="C234" t="str">
            <v>Coconut Sugar椰糖</v>
          </cell>
          <cell r="E234" t="str">
            <v>BL BRAND</v>
          </cell>
          <cell r="F234" t="str">
            <v>10kgs/ctn</v>
          </cell>
        </row>
        <row r="235">
          <cell r="B235" t="str">
            <v>R045</v>
          </cell>
          <cell r="C235" t="str">
            <v>Coconut Sugar椰糖</v>
          </cell>
          <cell r="E235" t="str">
            <v>Indonesia</v>
          </cell>
          <cell r="F235" t="str">
            <v>10kgs/ctn</v>
          </cell>
        </row>
        <row r="236">
          <cell r="B236" t="str">
            <v>R046</v>
          </cell>
          <cell r="C236" t="str">
            <v>Coconut Sugar椰糖</v>
          </cell>
          <cell r="E236" t="str">
            <v>KHS</v>
          </cell>
          <cell r="F236" t="str">
            <v>10 kgs/Ctn</v>
          </cell>
        </row>
        <row r="237">
          <cell r="B237" t="str">
            <v>R047</v>
          </cell>
          <cell r="C237" t="str">
            <v>Fine Sugar 白糖</v>
          </cell>
          <cell r="E237" t="str">
            <v>Mitrphol</v>
          </cell>
          <cell r="F237" t="str">
            <v>25 kgs/Bag</v>
          </cell>
        </row>
        <row r="238">
          <cell r="B238" t="str">
            <v>R048</v>
          </cell>
          <cell r="C238" t="str">
            <v>Candy Sugar 片糖</v>
          </cell>
          <cell r="E238" t="str">
            <v>Champ</v>
          </cell>
          <cell r="F238" t="str">
            <v>400gms x 50pkt/ctn</v>
          </cell>
        </row>
        <row r="239">
          <cell r="B239" t="str">
            <v>R049</v>
          </cell>
          <cell r="C239" t="str">
            <v>Liquid Maltose 麦芽糖</v>
          </cell>
          <cell r="E239" t="str">
            <v>FLS</v>
          </cell>
          <cell r="F239" t="str">
            <v>20kgs/1 Tin</v>
          </cell>
        </row>
        <row r="240">
          <cell r="B240" t="str">
            <v>R050</v>
          </cell>
          <cell r="C240" t="str">
            <v>Sweet Potato Powder番薯粉</v>
          </cell>
          <cell r="E240" t="str">
            <v>F/Man</v>
          </cell>
          <cell r="F240" t="str">
            <v>(500gm x 20Pkt)箱</v>
          </cell>
        </row>
        <row r="241">
          <cell r="B241" t="str">
            <v>R051</v>
          </cell>
          <cell r="C241" t="str">
            <v>Sweet Potato Powder番薯粉</v>
          </cell>
          <cell r="E241" t="str">
            <v>KHS</v>
          </cell>
          <cell r="F241" t="str">
            <v>(500gm x 20Pkt)箱</v>
          </cell>
        </row>
        <row r="242">
          <cell r="B242" t="str">
            <v>R052</v>
          </cell>
          <cell r="C242" t="str">
            <v>Potato Starch 风车粉</v>
          </cell>
          <cell r="E242" t="str">
            <v>Windmill</v>
          </cell>
          <cell r="F242" t="str">
            <v>350 gm x 24 bag</v>
          </cell>
        </row>
        <row r="243">
          <cell r="B243" t="str">
            <v>R053</v>
          </cell>
          <cell r="C243" t="str">
            <v>RICE FLOUR 粘米粉</v>
          </cell>
          <cell r="E243" t="str">
            <v>ERWAN</v>
          </cell>
          <cell r="F243" t="str">
            <v>(600gm x 20Pkt)箱</v>
          </cell>
        </row>
        <row r="244">
          <cell r="B244" t="str">
            <v>R054</v>
          </cell>
          <cell r="C244" t="str">
            <v>SODA 苏打粉</v>
          </cell>
          <cell r="E244" t="str">
            <v>-</v>
          </cell>
          <cell r="F244" t="str">
            <v>100gms x 12Bx4</v>
          </cell>
        </row>
        <row r="245">
          <cell r="B245" t="str">
            <v>R055</v>
          </cell>
          <cell r="C245" t="str">
            <v>Food Coloring 颜色</v>
          </cell>
          <cell r="E245" t="str">
            <v>Black</v>
          </cell>
          <cell r="F245" t="str">
            <v>5 lt</v>
          </cell>
        </row>
        <row r="246">
          <cell r="B246" t="str">
            <v>R056</v>
          </cell>
          <cell r="C246" t="str">
            <v>Flavour Essence香精</v>
          </cell>
          <cell r="E246" t="str">
            <v>Almond No 1</v>
          </cell>
          <cell r="F246" t="str">
            <v>450 ML/BTL</v>
          </cell>
        </row>
        <row r="247">
          <cell r="B247" t="str">
            <v>R057</v>
          </cell>
          <cell r="C247" t="str">
            <v>Flavour Essence香精</v>
          </cell>
          <cell r="E247" t="str">
            <v>Rose</v>
          </cell>
          <cell r="F247" t="str">
            <v>450 ML/BTL</v>
          </cell>
        </row>
        <row r="248">
          <cell r="B248" t="str">
            <v>R058</v>
          </cell>
          <cell r="C248" t="str">
            <v>Flavour Essence香精</v>
          </cell>
          <cell r="E248" t="str">
            <v>Honeydew</v>
          </cell>
          <cell r="F248" t="str">
            <v>450 ML/BTL</v>
          </cell>
        </row>
        <row r="249">
          <cell r="B249" t="str">
            <v>R059</v>
          </cell>
          <cell r="C249" t="str">
            <v>Flavour Essence香精</v>
          </cell>
          <cell r="E249" t="str">
            <v>Mango</v>
          </cell>
          <cell r="F249" t="str">
            <v>450 ML/BTL</v>
          </cell>
        </row>
        <row r="250">
          <cell r="B250" t="str">
            <v>R060</v>
          </cell>
          <cell r="C250" t="str">
            <v>Flavour Essence香精</v>
          </cell>
          <cell r="E250" t="str">
            <v>Pandan (FKJ)</v>
          </cell>
          <cell r="F250" t="str">
            <v>450 ML/BTL</v>
          </cell>
        </row>
        <row r="251">
          <cell r="B251" t="str">
            <v>R061</v>
          </cell>
          <cell r="C251" t="str">
            <v>Flavour Essence香精</v>
          </cell>
          <cell r="E251" t="str">
            <v>2552 Strawberry</v>
          </cell>
          <cell r="F251" t="str">
            <v>1 Lt/BTL</v>
          </cell>
        </row>
        <row r="252">
          <cell r="B252" t="str">
            <v>R062</v>
          </cell>
          <cell r="C252" t="str">
            <v>Flavour Essence香精</v>
          </cell>
          <cell r="E252" t="str">
            <v>Peach</v>
          </cell>
          <cell r="F252" t="str">
            <v>1 Lt/BTL</v>
          </cell>
        </row>
        <row r="253">
          <cell r="B253" t="str">
            <v>R063</v>
          </cell>
          <cell r="C253" t="str">
            <v>Flavour Essence香精</v>
          </cell>
          <cell r="E253" t="str">
            <v>Strawberry</v>
          </cell>
          <cell r="F253" t="str">
            <v>1 Lt/BTL</v>
          </cell>
        </row>
        <row r="254">
          <cell r="B254" t="str">
            <v>R064</v>
          </cell>
          <cell r="C254" t="str">
            <v>Flavour Essence香精</v>
          </cell>
          <cell r="E254" t="str">
            <v>Orange</v>
          </cell>
          <cell r="F254" t="str">
            <v>1 Lt/BTL</v>
          </cell>
        </row>
        <row r="255">
          <cell r="B255" t="str">
            <v>R065</v>
          </cell>
          <cell r="C255" t="str">
            <v>Flavour Essence香精</v>
          </cell>
          <cell r="E255" t="str">
            <v>Pineapple</v>
          </cell>
          <cell r="F255" t="str">
            <v>1 Lt/BTL</v>
          </cell>
        </row>
        <row r="256">
          <cell r="B256" t="str">
            <v>R066</v>
          </cell>
          <cell r="C256" t="str">
            <v>Flavour Essence香精</v>
          </cell>
          <cell r="E256" t="str">
            <v>Banana 23</v>
          </cell>
          <cell r="F256" t="str">
            <v>1 Lt/BTL</v>
          </cell>
        </row>
        <row r="257">
          <cell r="B257" t="str">
            <v>R067</v>
          </cell>
          <cell r="C257" t="str">
            <v>Netual Cloudifier 白色精</v>
          </cell>
          <cell r="E257" t="str">
            <v>Cludly</v>
          </cell>
          <cell r="F257" t="str">
            <v>500 ml x12 BT/ Ctn</v>
          </cell>
        </row>
        <row r="258">
          <cell r="B258" t="str">
            <v>R068</v>
          </cell>
          <cell r="C258" t="str">
            <v>3 Q Jelly</v>
          </cell>
          <cell r="E258" t="str">
            <v>-</v>
          </cell>
          <cell r="F258" t="str">
            <v>4 kgs x 4 桶</v>
          </cell>
        </row>
        <row r="259">
          <cell r="B259" t="str">
            <v>R069</v>
          </cell>
          <cell r="C259" t="str">
            <v>Full Cream Milk牛奶</v>
          </cell>
          <cell r="E259" t="str">
            <v>Marigold</v>
          </cell>
          <cell r="F259" t="str">
            <v>1Lt x 12 bag/Ctn</v>
          </cell>
        </row>
        <row r="260">
          <cell r="B260" t="str">
            <v>R070</v>
          </cell>
          <cell r="C260" t="str">
            <v>Pure Milk 牛奶</v>
          </cell>
          <cell r="E260" t="str">
            <v>Cowhead</v>
          </cell>
          <cell r="F260" t="str">
            <v>箱</v>
          </cell>
        </row>
        <row r="261">
          <cell r="B261" t="str">
            <v>R071</v>
          </cell>
          <cell r="C261" t="str">
            <v>GingKo Nut (Peel off)白果仁</v>
          </cell>
          <cell r="F261" t="str">
            <v>(500g x 24 pkt)/箱</v>
          </cell>
        </row>
        <row r="262">
          <cell r="B262" t="str">
            <v>R072</v>
          </cell>
          <cell r="C262" t="str">
            <v>GingKo Nut白果粒</v>
          </cell>
          <cell r="E262" t="str">
            <v>GRD1</v>
          </cell>
          <cell r="F262" t="str">
            <v>30 kgs/bag</v>
          </cell>
        </row>
        <row r="263">
          <cell r="B263" t="str">
            <v>R073</v>
          </cell>
          <cell r="C263" t="str">
            <v>Peanut 花生</v>
          </cell>
          <cell r="F263" t="str">
            <v>12.5KG/PKT X 2</v>
          </cell>
        </row>
        <row r="264">
          <cell r="B264" t="str">
            <v>R074</v>
          </cell>
          <cell r="C264" t="str">
            <v>Tapioca Flour 茨粉</v>
          </cell>
          <cell r="E264" t="str">
            <v>F/man 飞人</v>
          </cell>
          <cell r="F264" t="str">
            <v>25KG</v>
          </cell>
        </row>
        <row r="265">
          <cell r="B265" t="str">
            <v>R075</v>
          </cell>
          <cell r="C265" t="str">
            <v>Sea Coconut海底椰</v>
          </cell>
          <cell r="E265" t="str">
            <v>Golden Boy</v>
          </cell>
          <cell r="F265" t="str">
            <v>6 Can X A10</v>
          </cell>
        </row>
        <row r="266">
          <cell r="B266" t="str">
            <v>R076</v>
          </cell>
          <cell r="C266" t="str">
            <v>Herbal Jelly Powder</v>
          </cell>
          <cell r="F266" t="str">
            <v>500 GM/BAG</v>
          </cell>
        </row>
        <row r="267">
          <cell r="B267" t="str">
            <v>R077</v>
          </cell>
          <cell r="C267" t="str">
            <v>Carnation Milk淡奶水</v>
          </cell>
          <cell r="E267" t="str">
            <v>King &amp; King</v>
          </cell>
          <cell r="F267" t="str">
            <v>48 can/Box</v>
          </cell>
        </row>
        <row r="268">
          <cell r="B268" t="str">
            <v>R078</v>
          </cell>
          <cell r="C268" t="str">
            <v>发糕</v>
          </cell>
          <cell r="E268" t="str">
            <v>－</v>
          </cell>
          <cell r="F268" t="str">
            <v>SMALL</v>
          </cell>
        </row>
        <row r="269">
          <cell r="B269" t="str">
            <v>R079</v>
          </cell>
          <cell r="C269" t="str">
            <v>GingKo Nut白果粒</v>
          </cell>
          <cell r="F269" t="str">
            <v>1 KG</v>
          </cell>
        </row>
        <row r="270">
          <cell r="B270" t="str">
            <v>R080</v>
          </cell>
          <cell r="C270" t="str">
            <v>小麦草</v>
          </cell>
          <cell r="D270" t="str">
            <v>Malaysia</v>
          </cell>
          <cell r="E270" t="str">
            <v>-</v>
          </cell>
          <cell r="F270" t="str">
            <v>4 lt</v>
          </cell>
        </row>
        <row r="271">
          <cell r="B271" t="str">
            <v>R081</v>
          </cell>
          <cell r="C271" t="str">
            <v>VANILLIN　班兰素</v>
          </cell>
          <cell r="D271" t="str">
            <v>CHINA</v>
          </cell>
          <cell r="E271" t="str">
            <v>POLAR</v>
          </cell>
          <cell r="F271" t="str">
            <v>500 GMS/CAN</v>
          </cell>
        </row>
        <row r="272">
          <cell r="B272" t="str">
            <v>R082</v>
          </cell>
          <cell r="C272" t="str">
            <v>CORN STARCH玉蜀黍粉</v>
          </cell>
          <cell r="F272" t="str">
            <v>40GM X 20</v>
          </cell>
        </row>
        <row r="273">
          <cell r="B273" t="str">
            <v>R083</v>
          </cell>
          <cell r="C273" t="str">
            <v xml:space="preserve">PLAIN FLOUR 面粉 </v>
          </cell>
          <cell r="E273" t="str">
            <v>THREE EAGLE</v>
          </cell>
          <cell r="F273" t="str">
            <v>1KG X 10</v>
          </cell>
        </row>
        <row r="274">
          <cell r="B274" t="str">
            <v>R084</v>
          </cell>
          <cell r="C274" t="str">
            <v>MIXED SAGO 混色西谷</v>
          </cell>
          <cell r="F274" t="str">
            <v xml:space="preserve">300GM </v>
          </cell>
        </row>
        <row r="275">
          <cell r="B275" t="str">
            <v>R085</v>
          </cell>
          <cell r="C275" t="str">
            <v>CHINSU FISH SAUCE 金素味露</v>
          </cell>
          <cell r="F275" t="str">
            <v>500ML</v>
          </cell>
        </row>
        <row r="276">
          <cell r="B276" t="str">
            <v>R086</v>
          </cell>
          <cell r="C276" t="str">
            <v>VN TAM THAI TU SOY SAUCE 越南酱青</v>
          </cell>
          <cell r="F276" t="str">
            <v>500ML</v>
          </cell>
        </row>
        <row r="277">
          <cell r="B277" t="str">
            <v>R087</v>
          </cell>
          <cell r="C277" t="str">
            <v>VN SAFOCO RICE PAPER越 南米皮</v>
          </cell>
          <cell r="F277" t="str">
            <v>500GM X 10</v>
          </cell>
        </row>
        <row r="278">
          <cell r="B278" t="str">
            <v>R088</v>
          </cell>
          <cell r="C278" t="str">
            <v>VN SAFOCO FRESH RICE VERMICELL沙波歌米粉</v>
          </cell>
          <cell r="F278" t="str">
            <v>300GM X 15</v>
          </cell>
        </row>
        <row r="279">
          <cell r="B279" t="str">
            <v>R089</v>
          </cell>
          <cell r="C279" t="str">
            <v>VIETNAM VINA BANH NOODLE 越南粿条</v>
          </cell>
          <cell r="E279" t="str">
            <v>BLUE STRAP</v>
          </cell>
          <cell r="F279" t="str">
            <v>400GM X 20</v>
          </cell>
        </row>
        <row r="280">
          <cell r="B280" t="str">
            <v>R090</v>
          </cell>
          <cell r="C280" t="str">
            <v>WHITE PEPPER POWDER白胡椒粉</v>
          </cell>
          <cell r="F280" t="str">
            <v>25GM X 12</v>
          </cell>
        </row>
        <row r="281">
          <cell r="B281" t="str">
            <v>R091</v>
          </cell>
          <cell r="C281" t="str">
            <v>FINE PINK SALT 喜马拉雅粉盐</v>
          </cell>
          <cell r="F281" t="str">
            <v>500GM X 10</v>
          </cell>
        </row>
        <row r="282">
          <cell r="B282" t="str">
            <v>R092</v>
          </cell>
          <cell r="C282" t="str">
            <v>TAMARIND 亚参</v>
          </cell>
          <cell r="F282" t="str">
            <v>70 X 300GM</v>
          </cell>
        </row>
        <row r="283">
          <cell r="B283" t="str">
            <v>R093</v>
          </cell>
          <cell r="C283" t="str">
            <v>YELLOW Rock Suger黄冰糖</v>
          </cell>
          <cell r="F283" t="str">
            <v>400GM X 50</v>
          </cell>
        </row>
        <row r="284">
          <cell r="B284" t="str">
            <v>R094</v>
          </cell>
          <cell r="C284" t="str">
            <v>HUA TIAO WINE花彫酒</v>
          </cell>
          <cell r="F284" t="str">
            <v xml:space="preserve">640ML X 12 </v>
          </cell>
        </row>
        <row r="285">
          <cell r="B285" t="str">
            <v>R095</v>
          </cell>
          <cell r="C285" t="str">
            <v>BLACK SESAME SEED. 黑芝麻</v>
          </cell>
          <cell r="F285" t="str">
            <v>200 GMS</v>
          </cell>
        </row>
        <row r="286">
          <cell r="B286" t="str">
            <v>R096</v>
          </cell>
          <cell r="C286" t="str">
            <v>WHITE SEASAME 白芝麻</v>
          </cell>
          <cell r="F286" t="str">
            <v>200 GMS</v>
          </cell>
        </row>
        <row r="287">
          <cell r="B287" t="str">
            <v>R097</v>
          </cell>
          <cell r="C287" t="str">
            <v>Honey Pearl - Black 蜜糖珍珠</v>
          </cell>
          <cell r="E287" t="str">
            <v>7/8/9mm</v>
          </cell>
          <cell r="F287" t="str">
            <v>3 kgs</v>
          </cell>
        </row>
        <row r="288">
          <cell r="B288" t="str">
            <v>R098</v>
          </cell>
          <cell r="C288" t="str">
            <v>Golden Pearl -黄金 珍珠</v>
          </cell>
          <cell r="F288" t="str">
            <v>3 kgs</v>
          </cell>
        </row>
        <row r="289">
          <cell r="B289" t="str">
            <v>R099</v>
          </cell>
          <cell r="C289" t="str">
            <v>WHITE PEPPER POWDER白胡椒粉</v>
          </cell>
          <cell r="F289" t="str">
            <v>10 PKTX 400GMS</v>
          </cell>
        </row>
        <row r="290">
          <cell r="B290" t="str">
            <v>R100</v>
          </cell>
          <cell r="C290" t="str">
            <v>HAO HAO INSTANT SPICY NOODLE</v>
          </cell>
          <cell r="F290" t="str">
            <v>75 GM X 30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9.bin"/><Relationship Id="rId1" Type="http://schemas.openxmlformats.org/officeDocument/2006/relationships/hyperlink" Target="tel:93884525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3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">
    <pageSetUpPr fitToPage="1"/>
  </sheetPr>
  <dimension ref="A1:FA507"/>
  <sheetViews>
    <sheetView zoomScale="110" zoomScaleNormal="100" workbookViewId="0">
      <pane xSplit="3" ySplit="2" topLeftCell="DR3" activePane="bottomRight" state="frozen"/>
      <selection activeCell="C39" sqref="C39"/>
      <selection pane="topRight" activeCell="C39" sqref="C39"/>
      <selection pane="bottomLeft" activeCell="C39" sqref="C39"/>
      <selection pane="bottomRight" activeCell="DT4" sqref="DT4"/>
    </sheetView>
  </sheetViews>
  <sheetFormatPr defaultRowHeight="14.5" x14ac:dyDescent="0.35"/>
  <cols>
    <col min="1" max="1" width="18.26953125" customWidth="1"/>
    <col min="2" max="2" width="9.54296875" style="188" bestFit="1" customWidth="1"/>
    <col min="3" max="3" width="46.81640625" style="39" customWidth="1"/>
    <col min="4" max="4" width="12.54296875" style="39" customWidth="1"/>
    <col min="5" max="5" width="15.453125" style="39" bestFit="1" customWidth="1"/>
    <col min="6" max="6" width="24.81640625" customWidth="1"/>
    <col min="7" max="7" width="8.7265625" customWidth="1"/>
    <col min="8" max="8" width="9.36328125" style="3" customWidth="1"/>
    <col min="9" max="13" width="8.7265625" customWidth="1"/>
    <col min="14" max="19" width="8.7265625" style="6" customWidth="1"/>
    <col min="20" max="20" width="8.7265625" customWidth="1"/>
    <col min="21" max="21" width="8.7265625" style="6" customWidth="1"/>
    <col min="22" max="22" width="8.7265625" customWidth="1"/>
    <col min="23" max="23" width="8.7265625" style="6" customWidth="1"/>
    <col min="24" max="24" width="8.7265625" customWidth="1"/>
    <col min="25" max="26" width="8.7265625" style="6" customWidth="1"/>
    <col min="27" max="30" width="8.7265625" customWidth="1"/>
    <col min="31" max="33" width="8.7265625" style="6" customWidth="1"/>
    <col min="34" max="34" width="12" style="3" customWidth="1"/>
    <col min="35" max="35" width="8.7265625" customWidth="1"/>
    <col min="36" max="36" width="8.7265625" style="3" customWidth="1"/>
    <col min="37" max="41" width="8.7265625" customWidth="1"/>
    <col min="42" max="42" width="8.7265625" style="6" customWidth="1"/>
    <col min="43" max="45" width="8.7265625" customWidth="1"/>
    <col min="46" max="46" width="8.7265625" style="6" customWidth="1"/>
    <col min="47" max="48" width="8.7265625" style="9" customWidth="1"/>
    <col min="49" max="49" width="8.7265625" style="6" customWidth="1"/>
    <col min="50" max="50" width="8.7265625" style="9" customWidth="1"/>
    <col min="51" max="68" width="8.7265625" style="6" customWidth="1"/>
    <col min="69" max="69" width="8.7265625" customWidth="1"/>
    <col min="70" max="70" width="8.7265625" style="6" customWidth="1"/>
    <col min="71" max="75" width="8.7265625" customWidth="1"/>
    <col min="76" max="80" width="8.7265625" style="6" customWidth="1"/>
    <col min="81" max="88" width="8.7265625" customWidth="1"/>
    <col min="89" max="89" width="11" customWidth="1"/>
    <col min="90" max="90" width="8.7265625" style="9" customWidth="1"/>
    <col min="91" max="96" width="8.7265625" customWidth="1"/>
    <col min="97" max="97" width="8.7265625" style="3" customWidth="1"/>
    <col min="98" max="101" width="8.7265625" customWidth="1"/>
    <col min="102" max="102" width="8.7265625" style="6" customWidth="1"/>
    <col min="103" max="126" width="8.7265625" customWidth="1"/>
    <col min="127" max="127" width="10.1796875" style="3" customWidth="1"/>
    <col min="128" max="138" width="8.7265625" customWidth="1"/>
    <col min="139" max="139" width="13.54296875" customWidth="1"/>
    <col min="140" max="141" width="8.7265625" style="3" customWidth="1"/>
    <col min="142" max="142" width="10.54296875" style="3" customWidth="1"/>
    <col min="143" max="156" width="8.7265625" customWidth="1"/>
    <col min="157" max="157" width="10.1796875" style="249" customWidth="1"/>
  </cols>
  <sheetData>
    <row r="1" spans="1:157" ht="20.149999999999999" customHeight="1" x14ac:dyDescent="0.35">
      <c r="C1" s="39">
        <v>1</v>
      </c>
      <c r="D1" s="39">
        <v>2</v>
      </c>
      <c r="E1" s="39">
        <f>D1+1</f>
        <v>3</v>
      </c>
      <c r="F1" s="39">
        <f t="shared" ref="F1:BQ1" si="0">E1+1</f>
        <v>4</v>
      </c>
      <c r="G1" s="39">
        <f t="shared" si="0"/>
        <v>5</v>
      </c>
      <c r="H1" s="39">
        <f t="shared" si="0"/>
        <v>6</v>
      </c>
      <c r="I1" s="39">
        <f t="shared" si="0"/>
        <v>7</v>
      </c>
      <c r="J1" s="39">
        <f t="shared" si="0"/>
        <v>8</v>
      </c>
      <c r="K1" s="39">
        <f t="shared" si="0"/>
        <v>9</v>
      </c>
      <c r="L1" s="39">
        <f t="shared" si="0"/>
        <v>10</v>
      </c>
      <c r="M1" s="39">
        <f t="shared" si="0"/>
        <v>11</v>
      </c>
      <c r="N1" s="39">
        <f t="shared" si="0"/>
        <v>12</v>
      </c>
      <c r="O1" s="39"/>
      <c r="P1" s="39">
        <f t="shared" si="0"/>
        <v>1</v>
      </c>
      <c r="Q1" s="39">
        <f t="shared" si="0"/>
        <v>2</v>
      </c>
      <c r="R1" s="269">
        <f t="shared" si="0"/>
        <v>3</v>
      </c>
      <c r="S1" s="39">
        <f t="shared" si="0"/>
        <v>4</v>
      </c>
      <c r="T1" s="39">
        <f t="shared" si="0"/>
        <v>5</v>
      </c>
      <c r="U1" s="39">
        <f t="shared" si="0"/>
        <v>6</v>
      </c>
      <c r="V1" s="39">
        <f t="shared" si="0"/>
        <v>7</v>
      </c>
      <c r="W1" s="39">
        <f t="shared" si="0"/>
        <v>8</v>
      </c>
      <c r="X1" s="39">
        <f t="shared" si="0"/>
        <v>9</v>
      </c>
      <c r="Y1" s="39"/>
      <c r="Z1" s="39">
        <f t="shared" si="0"/>
        <v>1</v>
      </c>
      <c r="AA1" s="39">
        <f t="shared" si="0"/>
        <v>2</v>
      </c>
      <c r="AB1" s="39">
        <f t="shared" si="0"/>
        <v>3</v>
      </c>
      <c r="AC1" s="39">
        <f t="shared" si="0"/>
        <v>4</v>
      </c>
      <c r="AD1" s="39">
        <f t="shared" si="0"/>
        <v>5</v>
      </c>
      <c r="AE1" s="39">
        <f t="shared" si="0"/>
        <v>6</v>
      </c>
      <c r="AF1" s="39">
        <f t="shared" si="0"/>
        <v>7</v>
      </c>
      <c r="AG1" s="39">
        <f t="shared" si="0"/>
        <v>8</v>
      </c>
      <c r="AH1" s="39">
        <f t="shared" si="0"/>
        <v>9</v>
      </c>
      <c r="AI1" s="39">
        <f t="shared" si="0"/>
        <v>10</v>
      </c>
      <c r="AJ1" s="39">
        <f t="shared" si="0"/>
        <v>11</v>
      </c>
      <c r="AK1" s="39">
        <f t="shared" si="0"/>
        <v>12</v>
      </c>
      <c r="AL1" s="39">
        <f t="shared" si="0"/>
        <v>13</v>
      </c>
      <c r="AM1" s="39">
        <f t="shared" si="0"/>
        <v>14</v>
      </c>
      <c r="AN1" s="39">
        <f t="shared" si="0"/>
        <v>15</v>
      </c>
      <c r="AO1" s="39">
        <f t="shared" si="0"/>
        <v>16</v>
      </c>
      <c r="AP1" s="39">
        <f t="shared" si="0"/>
        <v>17</v>
      </c>
      <c r="AQ1" s="39">
        <f t="shared" si="0"/>
        <v>18</v>
      </c>
      <c r="AR1" s="39">
        <f t="shared" si="0"/>
        <v>19</v>
      </c>
      <c r="AS1" s="39">
        <f t="shared" si="0"/>
        <v>20</v>
      </c>
      <c r="AT1" s="39">
        <f t="shared" si="0"/>
        <v>21</v>
      </c>
      <c r="AU1" s="39"/>
      <c r="AV1" s="39">
        <f t="shared" si="0"/>
        <v>1</v>
      </c>
      <c r="AW1" s="39">
        <v>47</v>
      </c>
      <c r="AX1" s="39">
        <f t="shared" si="0"/>
        <v>48</v>
      </c>
      <c r="AY1" s="39">
        <f t="shared" si="0"/>
        <v>49</v>
      </c>
      <c r="AZ1" s="39">
        <f t="shared" si="0"/>
        <v>50</v>
      </c>
      <c r="BA1" s="39">
        <f t="shared" si="0"/>
        <v>51</v>
      </c>
      <c r="BB1" s="39">
        <f t="shared" si="0"/>
        <v>52</v>
      </c>
      <c r="BC1" s="39">
        <f t="shared" si="0"/>
        <v>53</v>
      </c>
      <c r="BD1" s="39">
        <f t="shared" si="0"/>
        <v>54</v>
      </c>
      <c r="BE1" s="39">
        <f t="shared" si="0"/>
        <v>55</v>
      </c>
      <c r="BF1" s="39">
        <f t="shared" si="0"/>
        <v>56</v>
      </c>
      <c r="BG1" s="39">
        <v>57</v>
      </c>
      <c r="BH1" s="39">
        <f t="shared" si="0"/>
        <v>58</v>
      </c>
      <c r="BI1" s="39">
        <f t="shared" si="0"/>
        <v>59</v>
      </c>
      <c r="BJ1" s="39">
        <f t="shared" si="0"/>
        <v>60</v>
      </c>
      <c r="BK1" s="39">
        <f t="shared" si="0"/>
        <v>61</v>
      </c>
      <c r="BL1" s="39">
        <f t="shared" si="0"/>
        <v>62</v>
      </c>
      <c r="BM1" s="39">
        <f t="shared" si="0"/>
        <v>63</v>
      </c>
      <c r="BN1" s="39">
        <f t="shared" si="0"/>
        <v>64</v>
      </c>
      <c r="BO1" s="39">
        <f t="shared" si="0"/>
        <v>65</v>
      </c>
      <c r="BP1" s="39">
        <f t="shared" si="0"/>
        <v>66</v>
      </c>
      <c r="BQ1" s="39">
        <f t="shared" si="0"/>
        <v>67</v>
      </c>
      <c r="BR1" s="39">
        <f t="shared" ref="BR1:EC1" si="1">BQ1+1</f>
        <v>68</v>
      </c>
      <c r="BS1" s="39">
        <f t="shared" si="1"/>
        <v>69</v>
      </c>
      <c r="BT1" s="39">
        <f t="shared" si="1"/>
        <v>70</v>
      </c>
      <c r="BU1" s="39">
        <f t="shared" si="1"/>
        <v>71</v>
      </c>
      <c r="BV1" s="39">
        <f t="shared" si="1"/>
        <v>72</v>
      </c>
      <c r="BW1" s="39">
        <f t="shared" si="1"/>
        <v>73</v>
      </c>
      <c r="BX1" s="39">
        <f t="shared" si="1"/>
        <v>74</v>
      </c>
      <c r="BY1" s="39">
        <f t="shared" si="1"/>
        <v>75</v>
      </c>
      <c r="BZ1" s="39">
        <f t="shared" si="1"/>
        <v>76</v>
      </c>
      <c r="CA1" s="39">
        <v>78</v>
      </c>
      <c r="CB1" s="39">
        <f t="shared" si="1"/>
        <v>79</v>
      </c>
      <c r="CC1" s="39">
        <f t="shared" si="1"/>
        <v>80</v>
      </c>
      <c r="CD1" s="39">
        <f t="shared" si="1"/>
        <v>81</v>
      </c>
      <c r="CE1" s="39">
        <f t="shared" si="1"/>
        <v>82</v>
      </c>
      <c r="CF1" s="39">
        <f t="shared" si="1"/>
        <v>83</v>
      </c>
      <c r="CG1" s="39">
        <f t="shared" si="1"/>
        <v>84</v>
      </c>
      <c r="CH1" s="39">
        <f t="shared" si="1"/>
        <v>85</v>
      </c>
      <c r="CI1" s="39">
        <f t="shared" si="1"/>
        <v>86</v>
      </c>
      <c r="CJ1" s="39">
        <f t="shared" si="1"/>
        <v>87</v>
      </c>
      <c r="CK1" s="39">
        <f t="shared" si="1"/>
        <v>88</v>
      </c>
      <c r="CL1" s="39">
        <f t="shared" si="1"/>
        <v>89</v>
      </c>
      <c r="CM1" s="39">
        <f t="shared" si="1"/>
        <v>90</v>
      </c>
      <c r="CN1" s="39">
        <f t="shared" si="1"/>
        <v>91</v>
      </c>
      <c r="CO1" s="39">
        <f t="shared" si="1"/>
        <v>92</v>
      </c>
      <c r="CP1" s="39">
        <f t="shared" si="1"/>
        <v>93</v>
      </c>
      <c r="CQ1" s="39">
        <f t="shared" si="1"/>
        <v>94</v>
      </c>
      <c r="CR1" s="39">
        <f t="shared" si="1"/>
        <v>95</v>
      </c>
      <c r="CS1" s="39">
        <f t="shared" si="1"/>
        <v>96</v>
      </c>
      <c r="CT1" s="39">
        <f t="shared" si="1"/>
        <v>97</v>
      </c>
      <c r="CU1" s="39">
        <f t="shared" si="1"/>
        <v>98</v>
      </c>
      <c r="CV1" s="39">
        <f t="shared" si="1"/>
        <v>99</v>
      </c>
      <c r="CW1" s="39">
        <f t="shared" si="1"/>
        <v>100</v>
      </c>
      <c r="CX1" s="39">
        <f t="shared" si="1"/>
        <v>101</v>
      </c>
      <c r="CY1" s="39">
        <f t="shared" si="1"/>
        <v>102</v>
      </c>
      <c r="CZ1" s="39">
        <f t="shared" si="1"/>
        <v>103</v>
      </c>
      <c r="DA1" s="39">
        <f t="shared" si="1"/>
        <v>104</v>
      </c>
      <c r="DB1" s="39">
        <f t="shared" si="1"/>
        <v>105</v>
      </c>
      <c r="DC1" s="39">
        <f t="shared" si="1"/>
        <v>106</v>
      </c>
      <c r="DD1" s="39">
        <v>107</v>
      </c>
      <c r="DE1" s="39">
        <f t="shared" si="1"/>
        <v>108</v>
      </c>
      <c r="DF1" s="39">
        <f t="shared" si="1"/>
        <v>109</v>
      </c>
      <c r="DG1" s="39">
        <f t="shared" si="1"/>
        <v>110</v>
      </c>
      <c r="DH1" s="39">
        <f t="shared" si="1"/>
        <v>111</v>
      </c>
      <c r="DI1" s="39">
        <f t="shared" si="1"/>
        <v>112</v>
      </c>
      <c r="DJ1" s="39">
        <f t="shared" si="1"/>
        <v>113</v>
      </c>
      <c r="DK1" s="39">
        <f t="shared" si="1"/>
        <v>114</v>
      </c>
      <c r="DL1" s="39">
        <f t="shared" si="1"/>
        <v>115</v>
      </c>
      <c r="DM1" s="39">
        <f t="shared" si="1"/>
        <v>116</v>
      </c>
      <c r="DN1" s="39">
        <f t="shared" si="1"/>
        <v>117</v>
      </c>
      <c r="DO1" s="39">
        <f t="shared" si="1"/>
        <v>118</v>
      </c>
      <c r="DP1" s="39">
        <f t="shared" si="1"/>
        <v>119</v>
      </c>
      <c r="DQ1" s="39">
        <f t="shared" si="1"/>
        <v>120</v>
      </c>
      <c r="DR1" s="39">
        <f t="shared" si="1"/>
        <v>121</v>
      </c>
      <c r="DS1" s="39">
        <f t="shared" si="1"/>
        <v>122</v>
      </c>
      <c r="DT1" s="39">
        <f t="shared" si="1"/>
        <v>123</v>
      </c>
      <c r="DU1" s="39">
        <f t="shared" si="1"/>
        <v>124</v>
      </c>
      <c r="DV1" s="39">
        <f t="shared" si="1"/>
        <v>125</v>
      </c>
      <c r="DW1" s="39">
        <f t="shared" si="1"/>
        <v>126</v>
      </c>
      <c r="DX1" s="39">
        <f t="shared" si="1"/>
        <v>127</v>
      </c>
      <c r="DY1" s="39">
        <f t="shared" si="1"/>
        <v>128</v>
      </c>
      <c r="DZ1" s="39">
        <f t="shared" si="1"/>
        <v>129</v>
      </c>
      <c r="EA1" s="39">
        <f t="shared" si="1"/>
        <v>130</v>
      </c>
      <c r="EB1" s="39">
        <f t="shared" si="1"/>
        <v>131</v>
      </c>
      <c r="EC1" s="39">
        <f t="shared" si="1"/>
        <v>132</v>
      </c>
      <c r="ED1" s="39">
        <v>133</v>
      </c>
      <c r="EE1" s="39">
        <f>ED1+1</f>
        <v>134</v>
      </c>
      <c r="EF1" s="39">
        <v>134</v>
      </c>
      <c r="EG1" s="39">
        <f>EF1+1</f>
        <v>135</v>
      </c>
    </row>
    <row r="2" spans="1:157" ht="116" x14ac:dyDescent="0.35">
      <c r="A2" s="356" t="s">
        <v>58</v>
      </c>
      <c r="B2" s="55" t="s">
        <v>0</v>
      </c>
      <c r="C2" s="56" t="s">
        <v>1</v>
      </c>
      <c r="D2" s="55" t="s">
        <v>693</v>
      </c>
      <c r="E2" s="56" t="s">
        <v>57</v>
      </c>
      <c r="F2" s="56" t="s">
        <v>28</v>
      </c>
      <c r="G2" s="56" t="s">
        <v>29</v>
      </c>
      <c r="H2" s="357" t="s">
        <v>1155</v>
      </c>
      <c r="I2" s="75" t="s">
        <v>129</v>
      </c>
      <c r="J2" s="75" t="s">
        <v>158</v>
      </c>
      <c r="K2" s="75" t="s">
        <v>156</v>
      </c>
      <c r="L2" s="102" t="s">
        <v>114</v>
      </c>
      <c r="M2" s="75" t="s">
        <v>536</v>
      </c>
      <c r="N2" s="76" t="s">
        <v>157</v>
      </c>
      <c r="O2" s="76"/>
      <c r="P2" s="76" t="s">
        <v>124</v>
      </c>
      <c r="Q2" s="76" t="s">
        <v>95</v>
      </c>
      <c r="R2" s="76" t="s">
        <v>1240</v>
      </c>
      <c r="S2" s="132" t="s">
        <v>537</v>
      </c>
      <c r="T2" s="75" t="s">
        <v>149</v>
      </c>
      <c r="U2" s="76" t="s">
        <v>101</v>
      </c>
      <c r="V2" s="75" t="s">
        <v>150</v>
      </c>
      <c r="W2" s="76" t="s">
        <v>1467</v>
      </c>
      <c r="X2" s="75" t="s">
        <v>528</v>
      </c>
      <c r="Y2" s="135"/>
      <c r="Z2" s="76" t="s">
        <v>599</v>
      </c>
      <c r="AA2" s="75" t="s">
        <v>144</v>
      </c>
      <c r="AB2" s="134" t="s">
        <v>379</v>
      </c>
      <c r="AC2" s="75" t="s">
        <v>516</v>
      </c>
      <c r="AD2" s="75" t="s">
        <v>108</v>
      </c>
      <c r="AE2" s="76" t="s">
        <v>140</v>
      </c>
      <c r="AF2" s="76" t="s">
        <v>117</v>
      </c>
      <c r="AG2" s="76" t="s">
        <v>94</v>
      </c>
      <c r="AH2" s="359" t="s">
        <v>1493</v>
      </c>
      <c r="AI2" s="77" t="s">
        <v>242</v>
      </c>
      <c r="AJ2" s="78" t="s">
        <v>240</v>
      </c>
      <c r="AK2" s="51" t="s">
        <v>1337</v>
      </c>
      <c r="AL2" s="51" t="s">
        <v>139</v>
      </c>
      <c r="AM2" s="50" t="s">
        <v>134</v>
      </c>
      <c r="AN2" s="50" t="s">
        <v>125</v>
      </c>
      <c r="AO2" s="79" t="s">
        <v>123</v>
      </c>
      <c r="AP2" s="80" t="s">
        <v>1384</v>
      </c>
      <c r="AQ2" s="134" t="s">
        <v>127</v>
      </c>
      <c r="AR2" s="134" t="s">
        <v>107</v>
      </c>
      <c r="AS2" s="50" t="s">
        <v>104</v>
      </c>
      <c r="AT2" s="135" t="s">
        <v>1174</v>
      </c>
      <c r="AU2" s="135" t="s">
        <v>1491</v>
      </c>
      <c r="AV2" s="50" t="s">
        <v>153</v>
      </c>
      <c r="AW2" s="86" t="s">
        <v>1700</v>
      </c>
      <c r="AX2" s="50" t="s">
        <v>118</v>
      </c>
      <c r="AY2" s="135" t="s">
        <v>550</v>
      </c>
      <c r="AZ2" s="81" t="s">
        <v>145</v>
      </c>
      <c r="BA2" s="80" t="s">
        <v>151</v>
      </c>
      <c r="BB2" s="81" t="s">
        <v>135</v>
      </c>
      <c r="BC2" s="81" t="s">
        <v>154</v>
      </c>
      <c r="BD2" s="81" t="s">
        <v>116</v>
      </c>
      <c r="BE2" s="81" t="s">
        <v>122</v>
      </c>
      <c r="BF2" s="81" t="s">
        <v>132</v>
      </c>
      <c r="BG2" s="82" t="s">
        <v>1333</v>
      </c>
      <c r="BH2" s="50" t="s">
        <v>102</v>
      </c>
      <c r="BI2" s="50" t="s">
        <v>131</v>
      </c>
      <c r="BJ2" s="83" t="s">
        <v>103</v>
      </c>
      <c r="BK2" s="84" t="s">
        <v>121</v>
      </c>
      <c r="BL2" s="135" t="s">
        <v>136</v>
      </c>
      <c r="BM2" s="50" t="s">
        <v>138</v>
      </c>
      <c r="BN2" s="50" t="s">
        <v>133</v>
      </c>
      <c r="BO2" s="135" t="s">
        <v>119</v>
      </c>
      <c r="BP2" s="50" t="s">
        <v>571</v>
      </c>
      <c r="BQ2" s="102" t="s">
        <v>111</v>
      </c>
      <c r="BR2" s="85" t="s">
        <v>96</v>
      </c>
      <c r="BS2" s="51" t="s">
        <v>141</v>
      </c>
      <c r="BT2" s="50" t="s">
        <v>623</v>
      </c>
      <c r="BU2" s="50" t="s">
        <v>143</v>
      </c>
      <c r="BV2" s="51" t="s">
        <v>1732</v>
      </c>
      <c r="BW2" s="51" t="s">
        <v>106</v>
      </c>
      <c r="BX2" s="86" t="s">
        <v>115</v>
      </c>
      <c r="BY2" s="86" t="s">
        <v>147</v>
      </c>
      <c r="BZ2" s="86" t="s">
        <v>130</v>
      </c>
      <c r="CA2" s="86"/>
      <c r="CB2" s="86" t="s">
        <v>707</v>
      </c>
      <c r="CC2" s="51" t="s">
        <v>112</v>
      </c>
      <c r="CD2" s="51" t="s">
        <v>146</v>
      </c>
      <c r="CE2" s="51" t="s">
        <v>120</v>
      </c>
      <c r="CF2" s="51" t="s">
        <v>152</v>
      </c>
      <c r="CG2" s="50" t="s">
        <v>113</v>
      </c>
      <c r="CH2" s="51" t="s">
        <v>110</v>
      </c>
      <c r="CI2" s="51" t="s">
        <v>1344</v>
      </c>
      <c r="CJ2" s="51" t="s">
        <v>126</v>
      </c>
      <c r="CK2" s="87" t="s">
        <v>148</v>
      </c>
      <c r="CL2" s="67" t="s">
        <v>97</v>
      </c>
      <c r="CM2" s="50" t="s">
        <v>105</v>
      </c>
      <c r="CN2" s="51"/>
      <c r="CO2" s="134" t="s">
        <v>535</v>
      </c>
      <c r="CP2" s="52" t="s">
        <v>109</v>
      </c>
      <c r="CQ2" s="53" t="s">
        <v>244</v>
      </c>
      <c r="CR2" s="51" t="s">
        <v>128</v>
      </c>
      <c r="CS2" s="108" t="s">
        <v>566</v>
      </c>
      <c r="CT2" s="51" t="s">
        <v>1157</v>
      </c>
      <c r="CU2" s="51" t="s">
        <v>159</v>
      </c>
      <c r="CV2" s="51" t="s">
        <v>142</v>
      </c>
      <c r="CW2" s="51" t="s">
        <v>155</v>
      </c>
      <c r="CX2" s="54" t="s">
        <v>137</v>
      </c>
      <c r="CY2" s="51" t="s">
        <v>238</v>
      </c>
      <c r="CZ2" s="51" t="s">
        <v>241</v>
      </c>
      <c r="DA2" s="51" t="s">
        <v>243</v>
      </c>
      <c r="DB2" s="51" t="s">
        <v>245</v>
      </c>
      <c r="DC2" s="134" t="s">
        <v>246</v>
      </c>
      <c r="DD2" s="72"/>
      <c r="DE2" s="51" t="s">
        <v>364</v>
      </c>
      <c r="DF2" s="51" t="s">
        <v>611</v>
      </c>
      <c r="DG2" s="53"/>
      <c r="DH2" s="72"/>
      <c r="DI2" s="72" t="s">
        <v>396</v>
      </c>
      <c r="DJ2" s="134" t="s">
        <v>408</v>
      </c>
      <c r="DK2" s="72" t="s">
        <v>410</v>
      </c>
      <c r="DL2" s="72" t="s">
        <v>416</v>
      </c>
      <c r="DM2" s="72" t="s">
        <v>517</v>
      </c>
      <c r="DN2" s="51" t="s">
        <v>538</v>
      </c>
      <c r="DO2" s="51" t="s">
        <v>531</v>
      </c>
      <c r="DP2" s="72" t="s">
        <v>532</v>
      </c>
      <c r="DQ2" s="72" t="s">
        <v>533</v>
      </c>
      <c r="DR2" s="51" t="s">
        <v>543</v>
      </c>
      <c r="DS2" s="135" t="s">
        <v>603</v>
      </c>
      <c r="DT2" s="72" t="s">
        <v>607</v>
      </c>
      <c r="DU2" s="51" t="s">
        <v>762</v>
      </c>
      <c r="DV2" s="51" t="s">
        <v>358</v>
      </c>
      <c r="DW2" s="108" t="s">
        <v>727</v>
      </c>
      <c r="DX2" s="179" t="s">
        <v>719</v>
      </c>
      <c r="DY2" s="108" t="s">
        <v>790</v>
      </c>
      <c r="DZ2" s="181" t="s">
        <v>735</v>
      </c>
      <c r="EA2" s="181" t="s">
        <v>746</v>
      </c>
      <c r="EB2" s="179" t="s">
        <v>761</v>
      </c>
      <c r="EC2" s="179" t="s">
        <v>795</v>
      </c>
      <c r="ED2" s="204" t="s">
        <v>1175</v>
      </c>
      <c r="EE2" s="204" t="s">
        <v>1194</v>
      </c>
      <c r="EF2" s="204" t="s">
        <v>1205</v>
      </c>
      <c r="EG2" s="204" t="s">
        <v>1212</v>
      </c>
      <c r="EH2" s="39" t="s">
        <v>797</v>
      </c>
      <c r="EI2" s="191" t="e">
        <f>SUM(EI3:EI675)</f>
        <v>#DIV/0!</v>
      </c>
      <c r="EJ2" s="199" t="s">
        <v>522</v>
      </c>
      <c r="EK2" s="200" t="s">
        <v>766</v>
      </c>
      <c r="EL2" s="358" t="s">
        <v>1492</v>
      </c>
      <c r="FA2" s="250">
        <v>44639</v>
      </c>
    </row>
    <row r="3" spans="1:157" s="1" customFormat="1" ht="20.149999999999999" customHeight="1" x14ac:dyDescent="0.35">
      <c r="A3" s="2"/>
      <c r="B3" s="373" t="s">
        <v>816</v>
      </c>
      <c r="C3" s="373" t="s">
        <v>160</v>
      </c>
      <c r="D3" s="374" t="s">
        <v>638</v>
      </c>
      <c r="E3" s="374" t="s">
        <v>59</v>
      </c>
      <c r="F3" s="374" t="s">
        <v>1512</v>
      </c>
      <c r="G3" s="374" t="s">
        <v>37</v>
      </c>
      <c r="H3" s="329">
        <v>23.67</v>
      </c>
      <c r="I3" s="47"/>
      <c r="J3" s="47"/>
      <c r="K3" s="47"/>
      <c r="L3" s="47"/>
      <c r="M3" s="47">
        <v>34</v>
      </c>
      <c r="N3" s="194"/>
      <c r="O3" s="235"/>
      <c r="P3" s="194"/>
      <c r="Q3" s="194">
        <v>33</v>
      </c>
      <c r="R3" s="47"/>
      <c r="S3" s="194">
        <v>34</v>
      </c>
      <c r="T3" s="47"/>
      <c r="U3" s="194"/>
      <c r="V3" s="47"/>
      <c r="W3" s="194"/>
      <c r="X3" s="47">
        <v>32</v>
      </c>
      <c r="Y3" s="194"/>
      <c r="Z3" s="194"/>
      <c r="AA3" s="47"/>
      <c r="AB3" s="47"/>
      <c r="AC3" s="47"/>
      <c r="AD3" s="47"/>
      <c r="AE3" s="194"/>
      <c r="AF3" s="194">
        <v>32</v>
      </c>
      <c r="AG3" s="194"/>
      <c r="AI3" s="47"/>
      <c r="AJ3" s="223"/>
      <c r="AK3" s="47"/>
      <c r="AL3" s="47">
        <v>32</v>
      </c>
      <c r="AM3" s="47"/>
      <c r="AN3" s="47"/>
      <c r="AO3" s="47"/>
      <c r="AP3" s="194"/>
      <c r="AQ3" s="47"/>
      <c r="AR3" s="47">
        <v>33</v>
      </c>
      <c r="AS3" s="47">
        <v>33</v>
      </c>
      <c r="AT3" s="194">
        <v>33</v>
      </c>
      <c r="AU3" s="194">
        <v>33</v>
      </c>
      <c r="AV3" s="194"/>
      <c r="AW3" s="194"/>
      <c r="AX3" s="194"/>
      <c r="AY3" s="194">
        <v>33</v>
      </c>
      <c r="AZ3" s="194"/>
      <c r="BA3" s="194"/>
      <c r="BB3" s="194">
        <v>33</v>
      </c>
      <c r="BC3" s="194"/>
      <c r="BD3" s="194"/>
      <c r="BE3" s="194"/>
      <c r="BF3" s="194">
        <v>32</v>
      </c>
      <c r="BG3" s="194"/>
      <c r="BH3" s="194">
        <v>31</v>
      </c>
      <c r="BI3" s="194"/>
      <c r="BJ3" s="194"/>
      <c r="BK3" s="194"/>
      <c r="BL3" s="194"/>
      <c r="BM3" s="194">
        <v>32</v>
      </c>
      <c r="BN3" s="194"/>
      <c r="BO3" s="194"/>
      <c r="BP3" s="194"/>
      <c r="BQ3" s="47"/>
      <c r="BR3" s="194"/>
      <c r="BS3" s="47"/>
      <c r="BT3" s="47"/>
      <c r="BU3" s="47"/>
      <c r="BV3" s="47"/>
      <c r="BW3" s="47"/>
      <c r="BX3" s="194"/>
      <c r="BY3" s="194"/>
      <c r="BZ3" s="194"/>
      <c r="CA3" s="194"/>
      <c r="CB3" s="194"/>
      <c r="CC3" s="47"/>
      <c r="CD3" s="47"/>
      <c r="CE3" s="47"/>
      <c r="CF3" s="47"/>
      <c r="CG3" s="47">
        <v>33</v>
      </c>
      <c r="CH3" s="47"/>
      <c r="CI3" s="47"/>
      <c r="CJ3" s="47"/>
      <c r="CK3" s="194"/>
      <c r="CL3" s="194"/>
      <c r="CM3" s="47"/>
      <c r="CN3" s="47"/>
      <c r="CO3" s="47">
        <v>33</v>
      </c>
      <c r="CP3" s="47">
        <v>33</v>
      </c>
      <c r="CQ3" s="47">
        <v>32</v>
      </c>
      <c r="CR3" s="47"/>
      <c r="CS3" s="47">
        <v>32</v>
      </c>
      <c r="CT3" s="47"/>
      <c r="CU3" s="47">
        <v>33</v>
      </c>
      <c r="CV3" s="47">
        <v>33</v>
      </c>
      <c r="CW3" s="47"/>
      <c r="CX3" s="194"/>
      <c r="CY3" s="47"/>
      <c r="CZ3" s="47"/>
      <c r="DA3" s="47"/>
      <c r="DB3" s="47"/>
      <c r="DC3" s="47"/>
      <c r="DD3" s="47"/>
      <c r="DE3" s="47"/>
      <c r="DF3" s="47"/>
      <c r="DG3" s="47"/>
      <c r="DH3" s="47"/>
      <c r="DI3" s="47">
        <v>32</v>
      </c>
      <c r="DJ3" s="47">
        <v>33</v>
      </c>
      <c r="DK3" s="47"/>
      <c r="DL3" s="47"/>
      <c r="DM3" s="47"/>
      <c r="DN3" s="47"/>
      <c r="DO3" s="47"/>
      <c r="DP3" s="47"/>
      <c r="DQ3" s="47"/>
      <c r="DR3" s="47"/>
      <c r="DS3" s="47"/>
      <c r="DT3" s="47">
        <v>34</v>
      </c>
      <c r="DU3" s="47"/>
      <c r="DV3" s="47"/>
      <c r="DW3" s="198"/>
      <c r="DX3" s="47"/>
      <c r="DY3" s="194"/>
      <c r="DZ3" s="47"/>
      <c r="EA3" s="47"/>
      <c r="EB3" s="194"/>
      <c r="EC3" s="47"/>
      <c r="ED3" s="195"/>
      <c r="EE3" s="195"/>
      <c r="EF3" s="195"/>
      <c r="EG3" s="195"/>
      <c r="EH3" s="195">
        <v>9</v>
      </c>
      <c r="EI3" s="196">
        <f>H3*EH3</f>
        <v>213.03000000000003</v>
      </c>
      <c r="EJ3" s="201">
        <f>H3*1.27</f>
        <v>30.060900000000004</v>
      </c>
      <c r="EK3" s="202">
        <v>28</v>
      </c>
      <c r="FA3" s="251">
        <f>H3</f>
        <v>23.67</v>
      </c>
    </row>
    <row r="4" spans="1:157" s="1" customFormat="1" ht="20.149999999999999" customHeight="1" x14ac:dyDescent="0.35">
      <c r="A4" s="2"/>
      <c r="B4" s="47" t="s">
        <v>817</v>
      </c>
      <c r="C4" s="47" t="s">
        <v>160</v>
      </c>
      <c r="D4" s="252" t="s">
        <v>638</v>
      </c>
      <c r="E4" s="2" t="s">
        <v>59</v>
      </c>
      <c r="F4" s="2" t="s">
        <v>1513</v>
      </c>
      <c r="G4" s="2" t="s">
        <v>276</v>
      </c>
      <c r="H4" s="328">
        <v>25.47</v>
      </c>
      <c r="I4" s="47"/>
      <c r="J4" s="47"/>
      <c r="K4" s="47"/>
      <c r="L4" s="47"/>
      <c r="M4" s="47"/>
      <c r="N4" s="194"/>
      <c r="O4" s="194"/>
      <c r="P4" s="194"/>
      <c r="Q4" s="194"/>
      <c r="R4" s="47"/>
      <c r="S4" s="194"/>
      <c r="T4" s="47"/>
      <c r="U4" s="194"/>
      <c r="V4" s="47"/>
      <c r="W4" s="194"/>
      <c r="X4" s="47"/>
      <c r="Y4" s="194"/>
      <c r="Z4" s="194"/>
      <c r="AA4" s="47"/>
      <c r="AB4" s="47"/>
      <c r="AC4" s="47"/>
      <c r="AD4" s="47"/>
      <c r="AE4" s="194"/>
      <c r="AF4" s="194"/>
      <c r="AG4" s="194"/>
      <c r="AI4" s="47"/>
      <c r="AJ4" s="223"/>
      <c r="AK4" s="47"/>
      <c r="AL4" s="47"/>
      <c r="AM4" s="47"/>
      <c r="AN4" s="47"/>
      <c r="AO4" s="47"/>
      <c r="AP4" s="194"/>
      <c r="AQ4" s="47"/>
      <c r="AR4" s="47"/>
      <c r="AS4" s="47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>
        <v>0</v>
      </c>
      <c r="BN4" s="194"/>
      <c r="BO4" s="194"/>
      <c r="BP4" s="194"/>
      <c r="BQ4" s="47"/>
      <c r="BR4" s="194"/>
      <c r="BS4" s="47"/>
      <c r="BT4" s="47"/>
      <c r="BU4" s="47"/>
      <c r="BV4" s="47"/>
      <c r="BW4" s="47"/>
      <c r="BX4" s="194"/>
      <c r="BY4" s="194"/>
      <c r="BZ4" s="194"/>
      <c r="CA4" s="194"/>
      <c r="CB4" s="194"/>
      <c r="CC4" s="47"/>
      <c r="CD4" s="47"/>
      <c r="CE4" s="47"/>
      <c r="CF4" s="47"/>
      <c r="CG4" s="47"/>
      <c r="CH4" s="47"/>
      <c r="CI4" s="47"/>
      <c r="CJ4" s="47"/>
      <c r="CK4" s="194"/>
      <c r="CL4" s="194">
        <v>34</v>
      </c>
      <c r="CM4" s="47"/>
      <c r="CN4" s="47"/>
      <c r="CO4" s="47"/>
      <c r="CP4" s="47"/>
      <c r="CQ4" s="47"/>
      <c r="CR4" s="47"/>
      <c r="CS4" s="198"/>
      <c r="CT4" s="47"/>
      <c r="CU4" s="47"/>
      <c r="CV4" s="47"/>
      <c r="CW4" s="47"/>
      <c r="CX4" s="194"/>
      <c r="CY4" s="47"/>
      <c r="CZ4" s="47"/>
      <c r="DA4" s="47"/>
      <c r="DB4" s="47"/>
      <c r="DC4" s="47"/>
      <c r="DD4" s="47"/>
      <c r="DE4" s="47"/>
      <c r="DF4" s="47"/>
      <c r="DG4" s="47"/>
      <c r="DH4" s="47"/>
      <c r="DI4" s="47"/>
      <c r="DJ4" s="47"/>
      <c r="DK4" s="47"/>
      <c r="DL4" s="47"/>
      <c r="DM4" s="47"/>
      <c r="DN4" s="47"/>
      <c r="DO4" s="47"/>
      <c r="DP4" s="47"/>
      <c r="DQ4" s="47"/>
      <c r="DR4" s="47"/>
      <c r="DS4" s="47"/>
      <c r="DT4" s="47"/>
      <c r="DU4" s="47"/>
      <c r="DV4" s="47"/>
      <c r="DW4" s="198"/>
      <c r="DX4" s="47"/>
      <c r="DY4" s="194"/>
      <c r="DZ4" s="47"/>
      <c r="EA4" s="47"/>
      <c r="EB4" s="194"/>
      <c r="EC4" s="47"/>
      <c r="ED4" s="195"/>
      <c r="EE4" s="195"/>
      <c r="EF4" s="195"/>
      <c r="EG4" s="195"/>
      <c r="EH4" s="195">
        <v>9</v>
      </c>
      <c r="EI4" s="196">
        <f t="shared" ref="EI4:EI113" si="2">H4*EH4</f>
        <v>229.23</v>
      </c>
      <c r="EJ4" s="201">
        <f t="shared" ref="EJ4:EJ113" si="3">H4*1.27</f>
        <v>32.346899999999998</v>
      </c>
      <c r="EK4" s="202">
        <v>30</v>
      </c>
      <c r="FA4" s="251">
        <f t="shared" ref="FA4:FA75" si="4">H4</f>
        <v>25.47</v>
      </c>
    </row>
    <row r="5" spans="1:157" s="1" customFormat="1" ht="20.149999999999999" customHeight="1" x14ac:dyDescent="0.35">
      <c r="A5" s="2"/>
      <c r="B5" s="47" t="s">
        <v>818</v>
      </c>
      <c r="C5" s="47" t="s">
        <v>160</v>
      </c>
      <c r="D5" s="252" t="s">
        <v>638</v>
      </c>
      <c r="E5" s="2" t="s">
        <v>59</v>
      </c>
      <c r="F5" s="2" t="s">
        <v>1514</v>
      </c>
      <c r="G5" s="2" t="s">
        <v>30</v>
      </c>
      <c r="H5" s="328">
        <f>H4/5</f>
        <v>5.0939999999999994</v>
      </c>
      <c r="I5" s="47"/>
      <c r="J5" s="47"/>
      <c r="K5" s="47"/>
      <c r="L5" s="47"/>
      <c r="M5" s="47"/>
      <c r="N5" s="194"/>
      <c r="O5" s="194"/>
      <c r="P5" s="194"/>
      <c r="Q5" s="194"/>
      <c r="R5" s="47"/>
      <c r="S5" s="194"/>
      <c r="T5" s="47"/>
      <c r="U5" s="194"/>
      <c r="V5" s="47"/>
      <c r="W5" s="194"/>
      <c r="X5" s="47"/>
      <c r="Y5" s="194"/>
      <c r="Z5" s="194"/>
      <c r="AA5" s="47"/>
      <c r="AB5" s="47"/>
      <c r="AC5" s="47"/>
      <c r="AD5" s="47"/>
      <c r="AE5" s="194"/>
      <c r="AF5" s="194"/>
      <c r="AG5" s="194"/>
      <c r="AI5" s="47"/>
      <c r="AJ5" s="223"/>
      <c r="AK5" s="47"/>
      <c r="AL5" s="47"/>
      <c r="AM5" s="47"/>
      <c r="AN5" s="47"/>
      <c r="AO5" s="47"/>
      <c r="AP5" s="194"/>
      <c r="AQ5" s="47"/>
      <c r="AR5" s="47"/>
      <c r="AS5" s="47">
        <v>9</v>
      </c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>
        <v>0</v>
      </c>
      <c r="BN5" s="194"/>
      <c r="BO5" s="194"/>
      <c r="BP5" s="194"/>
      <c r="BQ5" s="47"/>
      <c r="BR5" s="194"/>
      <c r="BS5" s="47"/>
      <c r="BT5" s="47"/>
      <c r="BU5" s="47"/>
      <c r="BV5" s="47"/>
      <c r="BW5" s="47"/>
      <c r="BX5" s="194"/>
      <c r="BY5" s="194"/>
      <c r="BZ5" s="194"/>
      <c r="CA5" s="194"/>
      <c r="CB5" s="194"/>
      <c r="CC5" s="47"/>
      <c r="CD5" s="47"/>
      <c r="CE5" s="47"/>
      <c r="CF5" s="47"/>
      <c r="CG5" s="47"/>
      <c r="CH5" s="47"/>
      <c r="CI5" s="47"/>
      <c r="CJ5" s="47"/>
      <c r="CK5" s="194"/>
      <c r="CL5" s="194"/>
      <c r="CM5" s="47"/>
      <c r="CN5" s="47"/>
      <c r="CO5" s="47"/>
      <c r="CP5" s="47"/>
      <c r="CQ5" s="47"/>
      <c r="CR5" s="47"/>
      <c r="CS5" s="198"/>
      <c r="CT5" s="47"/>
      <c r="CU5" s="47"/>
      <c r="CV5" s="47"/>
      <c r="CW5" s="47"/>
      <c r="CX5" s="194"/>
      <c r="CY5" s="47"/>
      <c r="CZ5" s="47"/>
      <c r="DA5" s="47"/>
      <c r="DB5" s="47"/>
      <c r="DC5" s="47"/>
      <c r="DD5" s="47"/>
      <c r="DE5" s="47"/>
      <c r="DF5" s="47"/>
      <c r="DG5" s="47"/>
      <c r="DH5" s="47"/>
      <c r="DI5" s="47"/>
      <c r="DJ5" s="47"/>
      <c r="DK5" s="47"/>
      <c r="DL5" s="47"/>
      <c r="DM5" s="47"/>
      <c r="DN5" s="47"/>
      <c r="DO5" s="47"/>
      <c r="DP5" s="47"/>
      <c r="DQ5" s="47"/>
      <c r="DR5" s="47"/>
      <c r="DS5" s="47"/>
      <c r="DT5" s="47"/>
      <c r="DU5" s="47"/>
      <c r="DV5" s="47"/>
      <c r="DW5" s="198"/>
      <c r="DX5" s="47"/>
      <c r="DY5" s="194"/>
      <c r="DZ5" s="47"/>
      <c r="EA5" s="47"/>
      <c r="EB5" s="194"/>
      <c r="EC5" s="47"/>
      <c r="ED5" s="195">
        <v>7</v>
      </c>
      <c r="EE5" s="195"/>
      <c r="EF5" s="195"/>
      <c r="EG5" s="195"/>
      <c r="EH5" s="195">
        <v>7</v>
      </c>
      <c r="EI5" s="196">
        <f t="shared" si="2"/>
        <v>35.657999999999994</v>
      </c>
      <c r="EJ5" s="201">
        <f t="shared" si="3"/>
        <v>6.4693799999999992</v>
      </c>
      <c r="EK5" s="202">
        <v>6</v>
      </c>
      <c r="FA5" s="251">
        <f t="shared" si="4"/>
        <v>5.0939999999999994</v>
      </c>
    </row>
    <row r="6" spans="1:157" s="1" customFormat="1" ht="20.149999999999999" customHeight="1" x14ac:dyDescent="0.35">
      <c r="A6" s="2"/>
      <c r="B6" s="47" t="s">
        <v>1245</v>
      </c>
      <c r="C6" s="47" t="s">
        <v>160</v>
      </c>
      <c r="D6" s="252" t="s">
        <v>638</v>
      </c>
      <c r="E6" s="2" t="s">
        <v>56</v>
      </c>
      <c r="F6" s="374" t="s">
        <v>1515</v>
      </c>
      <c r="G6" s="2" t="s">
        <v>35</v>
      </c>
      <c r="H6" s="328">
        <f>(17+25)/2</f>
        <v>21</v>
      </c>
      <c r="I6" s="47"/>
      <c r="J6" s="47"/>
      <c r="K6" s="47"/>
      <c r="L6" s="47"/>
      <c r="M6" s="47"/>
      <c r="N6" s="194"/>
      <c r="O6" s="194"/>
      <c r="P6" s="194"/>
      <c r="Q6" s="194"/>
      <c r="R6" s="47"/>
      <c r="S6" s="194"/>
      <c r="T6" s="47"/>
      <c r="U6" s="194"/>
      <c r="V6" s="47"/>
      <c r="W6" s="194"/>
      <c r="X6" s="47"/>
      <c r="Y6" s="194"/>
      <c r="Z6" s="194"/>
      <c r="AA6" s="47"/>
      <c r="AB6" s="47"/>
      <c r="AC6" s="47"/>
      <c r="AD6" s="47"/>
      <c r="AE6" s="194"/>
      <c r="AF6" s="194"/>
      <c r="AG6" s="194"/>
      <c r="AI6" s="47"/>
      <c r="AJ6" s="223"/>
      <c r="AK6" s="47"/>
      <c r="AL6" s="47"/>
      <c r="AM6" s="47"/>
      <c r="AN6" s="47"/>
      <c r="AO6" s="47"/>
      <c r="AP6" s="194"/>
      <c r="AQ6" s="47"/>
      <c r="AR6" s="47"/>
      <c r="AS6" s="47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47"/>
      <c r="BR6" s="194"/>
      <c r="BS6" s="47"/>
      <c r="BT6" s="47"/>
      <c r="BU6" s="47"/>
      <c r="BV6" s="47"/>
      <c r="BW6" s="47"/>
      <c r="BX6" s="194"/>
      <c r="BY6" s="194"/>
      <c r="BZ6" s="194"/>
      <c r="CA6" s="194"/>
      <c r="CB6" s="194"/>
      <c r="CC6" s="47"/>
      <c r="CD6" s="47"/>
      <c r="CE6" s="47"/>
      <c r="CF6" s="47"/>
      <c r="CG6" s="47"/>
      <c r="CH6" s="47"/>
      <c r="CI6" s="47"/>
      <c r="CJ6" s="47"/>
      <c r="CK6" s="194"/>
      <c r="CL6" s="194"/>
      <c r="CM6" s="47"/>
      <c r="CN6" s="47"/>
      <c r="CO6" s="47"/>
      <c r="CP6" s="47"/>
      <c r="CQ6" s="47"/>
      <c r="CR6" s="47"/>
      <c r="CS6" s="198"/>
      <c r="CT6" s="47"/>
      <c r="CU6" s="47"/>
      <c r="CV6" s="47"/>
      <c r="CW6" s="47"/>
      <c r="CX6" s="194"/>
      <c r="CY6" s="47"/>
      <c r="CZ6" s="47"/>
      <c r="DA6" s="47"/>
      <c r="DB6" s="47"/>
      <c r="DC6" s="47"/>
      <c r="DD6" s="47"/>
      <c r="DE6" s="47"/>
      <c r="DF6" s="47"/>
      <c r="DG6" s="47"/>
      <c r="DH6" s="47"/>
      <c r="DI6" s="47"/>
      <c r="DJ6" s="47"/>
      <c r="DK6" s="47"/>
      <c r="DL6" s="47"/>
      <c r="DM6" s="47"/>
      <c r="DN6" s="47"/>
      <c r="DO6" s="47"/>
      <c r="DP6" s="47"/>
      <c r="DQ6" s="47"/>
      <c r="DR6" s="47"/>
      <c r="DS6" s="47"/>
      <c r="DT6" s="47"/>
      <c r="DU6" s="47"/>
      <c r="DV6" s="47"/>
      <c r="DW6" s="198"/>
      <c r="DX6" s="47"/>
      <c r="DY6" s="194"/>
      <c r="DZ6" s="47"/>
      <c r="EA6" s="47"/>
      <c r="EB6" s="194"/>
      <c r="EC6" s="47"/>
      <c r="ED6" s="195"/>
      <c r="EE6" s="195"/>
      <c r="EF6" s="195"/>
      <c r="EG6" s="195"/>
      <c r="EH6" s="195"/>
      <c r="EI6" s="196"/>
      <c r="EJ6" s="201"/>
      <c r="EK6" s="202"/>
      <c r="FA6" s="251">
        <f t="shared" si="4"/>
        <v>21</v>
      </c>
    </row>
    <row r="7" spans="1:157" s="1" customFormat="1" ht="20.149999999999999" customHeight="1" x14ac:dyDescent="0.35">
      <c r="A7" s="2"/>
      <c r="B7" s="47" t="s">
        <v>819</v>
      </c>
      <c r="C7" s="47" t="s">
        <v>1516</v>
      </c>
      <c r="D7" s="252" t="s">
        <v>638</v>
      </c>
      <c r="E7" s="2" t="s">
        <v>59</v>
      </c>
      <c r="F7" s="2" t="s">
        <v>1513</v>
      </c>
      <c r="G7" s="2" t="s">
        <v>276</v>
      </c>
      <c r="H7" s="328">
        <v>25.4</v>
      </c>
      <c r="I7" s="47">
        <v>38</v>
      </c>
      <c r="J7" s="47"/>
      <c r="K7" s="47"/>
      <c r="L7" s="47"/>
      <c r="M7" s="47"/>
      <c r="N7" s="194"/>
      <c r="O7" s="194"/>
      <c r="P7" s="194">
        <v>38</v>
      </c>
      <c r="Q7" s="194"/>
      <c r="R7" s="47"/>
      <c r="S7" s="194"/>
      <c r="T7" s="47"/>
      <c r="U7" s="194"/>
      <c r="V7" s="47"/>
      <c r="W7" s="194"/>
      <c r="X7" s="47"/>
      <c r="Y7" s="194"/>
      <c r="Z7" s="194"/>
      <c r="AA7" s="47"/>
      <c r="AB7" s="47"/>
      <c r="AC7" s="47"/>
      <c r="AD7" s="47"/>
      <c r="AE7" s="194"/>
      <c r="AF7" s="194"/>
      <c r="AG7" s="194"/>
      <c r="AH7" s="1">
        <v>38</v>
      </c>
      <c r="AI7" s="47"/>
      <c r="AJ7" s="223"/>
      <c r="AK7" s="47"/>
      <c r="AL7" s="47"/>
      <c r="AM7" s="47"/>
      <c r="AN7" s="47"/>
      <c r="AO7" s="47"/>
      <c r="AP7" s="194"/>
      <c r="AQ7" s="47"/>
      <c r="AR7" s="47"/>
      <c r="AS7" s="47"/>
      <c r="AT7" s="194"/>
      <c r="AU7" s="194"/>
      <c r="AV7" s="194"/>
      <c r="AW7" s="194"/>
      <c r="AX7" s="194">
        <v>38.5</v>
      </c>
      <c r="AY7" s="194"/>
      <c r="AZ7" s="194"/>
      <c r="BA7" s="194"/>
      <c r="BB7" s="194">
        <v>38</v>
      </c>
      <c r="BC7" s="194"/>
      <c r="BD7" s="194"/>
      <c r="BE7" s="194">
        <v>38</v>
      </c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47">
        <v>38</v>
      </c>
      <c r="BR7" s="194"/>
      <c r="BS7" s="47"/>
      <c r="BT7" s="47"/>
      <c r="BU7" s="47"/>
      <c r="BV7" s="47"/>
      <c r="BW7" s="47"/>
      <c r="BX7" s="194"/>
      <c r="BY7" s="194"/>
      <c r="BZ7" s="194"/>
      <c r="CA7" s="194"/>
      <c r="CB7" s="194"/>
      <c r="CC7" s="47"/>
      <c r="CD7" s="47"/>
      <c r="CE7" s="47"/>
      <c r="CF7" s="47"/>
      <c r="CG7" s="47"/>
      <c r="CH7" s="47"/>
      <c r="CI7" s="47"/>
      <c r="CJ7" s="47"/>
      <c r="CK7" s="194"/>
      <c r="CL7" s="194"/>
      <c r="CM7" s="47"/>
      <c r="CN7" s="47"/>
      <c r="CO7" s="47"/>
      <c r="CP7" s="47"/>
      <c r="CQ7" s="47"/>
      <c r="CR7" s="47">
        <v>38</v>
      </c>
      <c r="CS7" s="47"/>
      <c r="CT7" s="47"/>
      <c r="CU7" s="47"/>
      <c r="CV7" s="47"/>
      <c r="CW7" s="47"/>
      <c r="CX7" s="194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>
        <v>38</v>
      </c>
      <c r="DJ7" s="47"/>
      <c r="DK7" s="47">
        <v>38</v>
      </c>
      <c r="DL7" s="47"/>
      <c r="DM7" s="47"/>
      <c r="DN7" s="47"/>
      <c r="DO7" s="47"/>
      <c r="DP7" s="47"/>
      <c r="DQ7" s="47">
        <v>38</v>
      </c>
      <c r="DR7" s="47"/>
      <c r="DS7" s="47"/>
      <c r="DT7" s="47"/>
      <c r="DU7" s="47"/>
      <c r="DV7" s="47">
        <v>38</v>
      </c>
      <c r="DW7" s="198"/>
      <c r="DX7" s="47"/>
      <c r="DY7" s="194">
        <v>38</v>
      </c>
      <c r="DZ7" s="47"/>
      <c r="EA7" s="47"/>
      <c r="EB7" s="194">
        <v>38</v>
      </c>
      <c r="EC7" s="47"/>
      <c r="ED7" s="195"/>
      <c r="EE7" s="195"/>
      <c r="EF7" s="195"/>
      <c r="EG7" s="195"/>
      <c r="EH7" s="195">
        <v>27</v>
      </c>
      <c r="EI7" s="196">
        <f t="shared" si="2"/>
        <v>685.8</v>
      </c>
      <c r="EJ7" s="201">
        <f t="shared" si="3"/>
        <v>32.257999999999996</v>
      </c>
      <c r="EK7" s="202">
        <f>AVERAGE(I7:EC7)</f>
        <v>38.035714285714285</v>
      </c>
      <c r="FA7" s="251">
        <f t="shared" si="4"/>
        <v>25.4</v>
      </c>
    </row>
    <row r="8" spans="1:157" s="1" customFormat="1" ht="20.149999999999999" customHeight="1" x14ac:dyDescent="0.35">
      <c r="A8" s="2"/>
      <c r="B8" s="47" t="s">
        <v>862</v>
      </c>
      <c r="C8" s="47" t="s">
        <v>1516</v>
      </c>
      <c r="D8" s="2" t="s">
        <v>638</v>
      </c>
      <c r="E8" s="2" t="s">
        <v>59</v>
      </c>
      <c r="F8" s="2" t="s">
        <v>1517</v>
      </c>
      <c r="G8" s="2" t="s">
        <v>30</v>
      </c>
      <c r="H8" s="328">
        <v>5.13</v>
      </c>
      <c r="I8" s="47"/>
      <c r="J8" s="47"/>
      <c r="K8" s="47"/>
      <c r="L8" s="47"/>
      <c r="M8" s="47"/>
      <c r="N8" s="194"/>
      <c r="O8" s="194"/>
      <c r="P8" s="194"/>
      <c r="Q8" s="194"/>
      <c r="R8" s="194">
        <v>10</v>
      </c>
      <c r="S8" s="194"/>
      <c r="T8" s="47"/>
      <c r="U8" s="194"/>
      <c r="V8" s="47">
        <v>10</v>
      </c>
      <c r="W8" s="194"/>
      <c r="X8" s="47"/>
      <c r="Y8" s="194"/>
      <c r="Z8" s="194"/>
      <c r="AA8" s="47">
        <v>7</v>
      </c>
      <c r="AB8" s="47">
        <v>10</v>
      </c>
      <c r="AC8" s="47">
        <v>8</v>
      </c>
      <c r="AD8" s="47"/>
      <c r="AE8" s="194">
        <v>10</v>
      </c>
      <c r="AF8" s="194"/>
      <c r="AG8" s="194"/>
      <c r="AI8" s="47"/>
      <c r="AJ8" s="223"/>
      <c r="AK8" s="47"/>
      <c r="AL8" s="47"/>
      <c r="AM8" s="47">
        <v>8</v>
      </c>
      <c r="AN8" s="47"/>
      <c r="AO8" s="47"/>
      <c r="AP8" s="194"/>
      <c r="AQ8" s="47"/>
      <c r="AR8" s="47"/>
      <c r="AS8" s="47">
        <v>10</v>
      </c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>
        <v>7</v>
      </c>
      <c r="BE8" s="194"/>
      <c r="BF8" s="194"/>
      <c r="BG8" s="194"/>
      <c r="BH8" s="194">
        <v>7</v>
      </c>
      <c r="BI8" s="194">
        <v>10</v>
      </c>
      <c r="BJ8" s="194"/>
      <c r="BK8" s="194"/>
      <c r="BL8" s="194"/>
      <c r="BM8" s="194"/>
      <c r="BN8" s="194"/>
      <c r="BO8" s="194"/>
      <c r="BP8" s="194">
        <v>10</v>
      </c>
      <c r="BQ8" s="47"/>
      <c r="BR8" s="194"/>
      <c r="BS8" s="47">
        <v>10</v>
      </c>
      <c r="BT8" s="47"/>
      <c r="BU8" s="47"/>
      <c r="BV8" s="47"/>
      <c r="BW8" s="47"/>
      <c r="BX8" s="194"/>
      <c r="BY8" s="194"/>
      <c r="BZ8" s="194"/>
      <c r="CA8" s="194"/>
      <c r="CB8" s="194"/>
      <c r="CC8" s="47"/>
      <c r="CD8" s="47"/>
      <c r="CE8" s="47"/>
      <c r="CF8" s="47"/>
      <c r="CG8" s="47"/>
      <c r="CH8" s="47"/>
      <c r="CI8" s="47"/>
      <c r="CJ8" s="47"/>
      <c r="CK8" s="194">
        <v>10</v>
      </c>
      <c r="CL8" s="194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194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>
        <v>7</v>
      </c>
      <c r="DM8" s="47"/>
      <c r="DN8" s="47"/>
      <c r="DO8" s="47"/>
      <c r="DP8" s="47"/>
      <c r="DQ8" s="47"/>
      <c r="DR8" s="47">
        <v>9</v>
      </c>
      <c r="DS8" s="47"/>
      <c r="DT8" s="47"/>
      <c r="DU8" s="47"/>
      <c r="DV8" s="47"/>
      <c r="DW8" s="198">
        <v>8</v>
      </c>
      <c r="DX8" s="47"/>
      <c r="DY8" s="194"/>
      <c r="DZ8" s="198">
        <v>8</v>
      </c>
      <c r="EA8" s="47"/>
      <c r="EB8" s="194"/>
      <c r="EC8" s="47"/>
      <c r="ED8" s="195">
        <v>8</v>
      </c>
      <c r="EE8" s="195"/>
      <c r="EF8" s="195"/>
      <c r="EG8" s="195"/>
      <c r="EH8" s="195">
        <v>15</v>
      </c>
      <c r="EI8" s="196">
        <f t="shared" si="2"/>
        <v>76.95</v>
      </c>
      <c r="EJ8" s="201">
        <f t="shared" si="3"/>
        <v>6.5151000000000003</v>
      </c>
      <c r="EK8" s="202">
        <v>7</v>
      </c>
      <c r="FA8" s="251">
        <f t="shared" si="4"/>
        <v>5.13</v>
      </c>
    </row>
    <row r="9" spans="1:157" s="1" customFormat="1" ht="20.149999999999999" customHeight="1" x14ac:dyDescent="0.35">
      <c r="A9" s="2"/>
      <c r="B9" s="47" t="s">
        <v>1202</v>
      </c>
      <c r="C9" s="47" t="s">
        <v>1516</v>
      </c>
      <c r="D9" s="2"/>
      <c r="E9" s="2" t="s">
        <v>56</v>
      </c>
      <c r="F9" s="374" t="s">
        <v>1515</v>
      </c>
      <c r="G9" s="2" t="s">
        <v>35</v>
      </c>
      <c r="H9" s="328">
        <v>21</v>
      </c>
      <c r="I9" s="47"/>
      <c r="J9" s="47"/>
      <c r="K9" s="47"/>
      <c r="L9" s="47"/>
      <c r="M9" s="47"/>
      <c r="N9" s="194"/>
      <c r="O9" s="194"/>
      <c r="P9" s="194"/>
      <c r="Q9" s="194"/>
      <c r="R9" s="194"/>
      <c r="S9" s="194"/>
      <c r="T9" s="47"/>
      <c r="U9" s="194"/>
      <c r="V9" s="47"/>
      <c r="W9" s="194"/>
      <c r="X9" s="47"/>
      <c r="Y9" s="194"/>
      <c r="Z9" s="194"/>
      <c r="AA9" s="47"/>
      <c r="AB9" s="47"/>
      <c r="AC9" s="47"/>
      <c r="AD9" s="47"/>
      <c r="AE9" s="194"/>
      <c r="AF9" s="194"/>
      <c r="AG9" s="194"/>
      <c r="AI9" s="47"/>
      <c r="AJ9" s="223"/>
      <c r="AK9" s="47"/>
      <c r="AL9" s="47"/>
      <c r="AM9" s="47"/>
      <c r="AN9" s="47"/>
      <c r="AO9" s="47"/>
      <c r="AP9" s="194"/>
      <c r="AQ9" s="47"/>
      <c r="AR9" s="47"/>
      <c r="AS9" s="47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47"/>
      <c r="BR9" s="194"/>
      <c r="BS9" s="47"/>
      <c r="BT9" s="47"/>
      <c r="BU9" s="47"/>
      <c r="BV9" s="47"/>
      <c r="BW9" s="47"/>
      <c r="BX9" s="194"/>
      <c r="BY9" s="194"/>
      <c r="BZ9" s="194"/>
      <c r="CA9" s="194"/>
      <c r="CB9" s="194"/>
      <c r="CC9" s="47"/>
      <c r="CD9" s="47"/>
      <c r="CE9" s="47"/>
      <c r="CF9" s="47"/>
      <c r="CG9" s="47"/>
      <c r="CH9" s="47"/>
      <c r="CI9" s="47"/>
      <c r="CJ9" s="47"/>
      <c r="CK9" s="194"/>
      <c r="CL9" s="194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194"/>
      <c r="CY9" s="47"/>
      <c r="CZ9" s="47"/>
      <c r="DA9" s="47"/>
      <c r="DB9" s="47"/>
      <c r="DC9" s="47"/>
      <c r="DD9" s="47"/>
      <c r="DE9" s="47"/>
      <c r="DF9" s="47"/>
      <c r="DG9" s="47"/>
      <c r="DH9" s="47"/>
      <c r="DI9" s="47"/>
      <c r="DJ9" s="47"/>
      <c r="DK9" s="47"/>
      <c r="DL9" s="47"/>
      <c r="DM9" s="47"/>
      <c r="DN9" s="47"/>
      <c r="DO9" s="47"/>
      <c r="DP9" s="47"/>
      <c r="DQ9" s="47"/>
      <c r="DR9" s="47"/>
      <c r="DS9" s="47"/>
      <c r="DT9" s="47"/>
      <c r="DU9" s="47"/>
      <c r="DV9" s="47"/>
      <c r="DW9" s="198"/>
      <c r="DX9" s="47"/>
      <c r="DY9" s="194"/>
      <c r="DZ9" s="198"/>
      <c r="EA9" s="47"/>
      <c r="EB9" s="194"/>
      <c r="EC9" s="47"/>
      <c r="ED9" s="195">
        <v>35</v>
      </c>
      <c r="EE9" s="195"/>
      <c r="EF9" s="195"/>
      <c r="EG9" s="195"/>
      <c r="EH9" s="195"/>
      <c r="EI9" s="196"/>
      <c r="EJ9" s="201"/>
      <c r="EK9" s="202"/>
      <c r="FA9" s="251">
        <f t="shared" si="4"/>
        <v>21</v>
      </c>
    </row>
    <row r="10" spans="1:157" s="1" customFormat="1" ht="20.149999999999999" customHeight="1" x14ac:dyDescent="0.35">
      <c r="A10" s="2"/>
      <c r="B10" s="47" t="s">
        <v>820</v>
      </c>
      <c r="C10" s="47" t="s">
        <v>1518</v>
      </c>
      <c r="D10" s="252" t="s">
        <v>638</v>
      </c>
      <c r="E10" s="2" t="s">
        <v>59</v>
      </c>
      <c r="F10" s="2" t="s">
        <v>1517</v>
      </c>
      <c r="G10" s="2" t="s">
        <v>30</v>
      </c>
      <c r="H10" s="328">
        <v>4.71</v>
      </c>
      <c r="I10" s="47"/>
      <c r="J10" s="47">
        <v>10</v>
      </c>
      <c r="K10" s="47"/>
      <c r="L10" s="47"/>
      <c r="M10" s="47">
        <v>8</v>
      </c>
      <c r="N10" s="194"/>
      <c r="O10" s="194"/>
      <c r="P10" s="194"/>
      <c r="Q10" s="194">
        <v>7</v>
      </c>
      <c r="R10" s="194">
        <v>8</v>
      </c>
      <c r="S10" s="194">
        <v>7</v>
      </c>
      <c r="T10" s="47"/>
      <c r="U10" s="194"/>
      <c r="V10" s="47">
        <v>8</v>
      </c>
      <c r="W10" s="194"/>
      <c r="X10" s="47">
        <v>7</v>
      </c>
      <c r="Y10" s="194"/>
      <c r="Z10" s="194"/>
      <c r="AA10" s="47">
        <v>6</v>
      </c>
      <c r="AB10" s="47">
        <v>9</v>
      </c>
      <c r="AC10" s="47"/>
      <c r="AD10" s="47"/>
      <c r="AE10" s="194">
        <v>10</v>
      </c>
      <c r="AF10" s="194">
        <v>8</v>
      </c>
      <c r="AG10" s="194"/>
      <c r="AI10" s="47"/>
      <c r="AJ10" s="223"/>
      <c r="AK10" s="47"/>
      <c r="AL10" s="47">
        <v>7.5</v>
      </c>
      <c r="AM10" s="47">
        <v>7</v>
      </c>
      <c r="AN10" s="47"/>
      <c r="AO10" s="47"/>
      <c r="AP10" s="194"/>
      <c r="AQ10" s="47"/>
      <c r="AR10" s="47">
        <v>9</v>
      </c>
      <c r="AS10" s="47">
        <v>8</v>
      </c>
      <c r="AT10" s="194"/>
      <c r="AU10" s="194"/>
      <c r="AV10" s="194"/>
      <c r="AW10" s="194"/>
      <c r="AX10" s="194"/>
      <c r="AY10" s="194">
        <v>9</v>
      </c>
      <c r="AZ10" s="194"/>
      <c r="BA10" s="194"/>
      <c r="BB10" s="194"/>
      <c r="BC10" s="194"/>
      <c r="BD10" s="194">
        <v>7</v>
      </c>
      <c r="BE10" s="194">
        <v>7</v>
      </c>
      <c r="BF10" s="194"/>
      <c r="BG10" s="194"/>
      <c r="BH10" s="194"/>
      <c r="BI10" s="194">
        <v>9</v>
      </c>
      <c r="BJ10" s="194"/>
      <c r="BK10" s="194"/>
      <c r="BL10" s="194"/>
      <c r="BM10" s="194">
        <v>7</v>
      </c>
      <c r="BN10" s="194"/>
      <c r="BO10" s="194"/>
      <c r="BP10" s="194">
        <v>8</v>
      </c>
      <c r="BQ10" s="47"/>
      <c r="BR10" s="194"/>
      <c r="BS10" s="47">
        <v>9</v>
      </c>
      <c r="BT10" s="47">
        <v>7</v>
      </c>
      <c r="BU10" s="47"/>
      <c r="BV10" s="47"/>
      <c r="BW10" s="47"/>
      <c r="BX10" s="194"/>
      <c r="BY10" s="194"/>
      <c r="BZ10" s="194"/>
      <c r="CA10" s="194"/>
      <c r="CB10" s="194"/>
      <c r="CC10" s="47"/>
      <c r="CD10" s="47"/>
      <c r="CE10" s="47"/>
      <c r="CF10" s="47"/>
      <c r="CG10" s="47">
        <v>9</v>
      </c>
      <c r="CH10" s="47"/>
      <c r="CI10" s="47"/>
      <c r="CJ10" s="47">
        <v>7</v>
      </c>
      <c r="CK10" s="194">
        <v>8</v>
      </c>
      <c r="CL10" s="194">
        <v>7</v>
      </c>
      <c r="CM10" s="47"/>
      <c r="CN10" s="47"/>
      <c r="CO10" s="47">
        <v>8</v>
      </c>
      <c r="CP10" s="47">
        <v>8</v>
      </c>
      <c r="CQ10" s="47">
        <v>6</v>
      </c>
      <c r="CR10" s="47"/>
      <c r="CS10" s="198">
        <v>9</v>
      </c>
      <c r="CT10" s="47"/>
      <c r="CU10" s="47">
        <v>8</v>
      </c>
      <c r="CV10" s="47">
        <v>8</v>
      </c>
      <c r="CW10" s="47"/>
      <c r="CX10" s="194"/>
      <c r="CY10" s="47"/>
      <c r="CZ10" s="47"/>
      <c r="DA10" s="47"/>
      <c r="DB10" s="47"/>
      <c r="DC10" s="47"/>
      <c r="DD10" s="47"/>
      <c r="DE10" s="47"/>
      <c r="DF10" s="47"/>
      <c r="DG10" s="47"/>
      <c r="DH10" s="47"/>
      <c r="DI10" s="47">
        <v>6</v>
      </c>
      <c r="DJ10" s="47">
        <v>8</v>
      </c>
      <c r="DK10" s="47"/>
      <c r="DL10" s="47">
        <v>6</v>
      </c>
      <c r="DM10" s="47"/>
      <c r="DN10" s="47"/>
      <c r="DO10" s="47"/>
      <c r="DP10" s="47"/>
      <c r="DQ10" s="47"/>
      <c r="DR10" s="47">
        <v>8</v>
      </c>
      <c r="DS10" s="47"/>
      <c r="DT10" s="47"/>
      <c r="DU10" s="47"/>
      <c r="DV10" s="47"/>
      <c r="DW10" s="198">
        <v>8</v>
      </c>
      <c r="DX10" s="47">
        <v>7</v>
      </c>
      <c r="DY10" s="194">
        <v>6</v>
      </c>
      <c r="DZ10" s="198"/>
      <c r="EA10" s="47"/>
      <c r="EB10" s="194">
        <v>8</v>
      </c>
      <c r="EC10" s="47"/>
      <c r="ED10" s="195"/>
      <c r="EE10" s="195"/>
      <c r="EF10" s="195"/>
      <c r="EG10" s="195"/>
      <c r="EH10" s="195">
        <v>119</v>
      </c>
      <c r="EI10" s="196">
        <f t="shared" si="2"/>
        <v>560.49</v>
      </c>
      <c r="EJ10" s="201">
        <f t="shared" si="3"/>
        <v>5.9817</v>
      </c>
      <c r="EK10" s="202">
        <v>6</v>
      </c>
      <c r="FA10" s="251">
        <f t="shared" si="4"/>
        <v>4.71</v>
      </c>
    </row>
    <row r="11" spans="1:157" s="1" customFormat="1" ht="20.149999999999999" customHeight="1" x14ac:dyDescent="0.35">
      <c r="A11" s="2"/>
      <c r="B11" s="47" t="s">
        <v>1191</v>
      </c>
      <c r="C11" s="47" t="s">
        <v>1518</v>
      </c>
      <c r="D11" s="252"/>
      <c r="E11" s="2" t="s">
        <v>56</v>
      </c>
      <c r="F11" s="2" t="s">
        <v>1519</v>
      </c>
      <c r="G11" s="2" t="s">
        <v>35</v>
      </c>
      <c r="H11" s="328">
        <v>26</v>
      </c>
      <c r="I11" s="47"/>
      <c r="J11" s="47"/>
      <c r="K11" s="47"/>
      <c r="L11" s="47"/>
      <c r="M11" s="47"/>
      <c r="N11" s="194"/>
      <c r="O11" s="194"/>
      <c r="P11" s="194"/>
      <c r="Q11" s="194"/>
      <c r="R11" s="194"/>
      <c r="S11" s="194"/>
      <c r="T11" s="47"/>
      <c r="U11" s="194"/>
      <c r="V11" s="47"/>
      <c r="W11" s="194"/>
      <c r="X11" s="47"/>
      <c r="Y11" s="194"/>
      <c r="Z11" s="194"/>
      <c r="AA11" s="47"/>
      <c r="AB11" s="47"/>
      <c r="AC11" s="47"/>
      <c r="AD11" s="47"/>
      <c r="AE11" s="194"/>
      <c r="AF11" s="194"/>
      <c r="AG11" s="194"/>
      <c r="AI11" s="47"/>
      <c r="AJ11" s="223"/>
      <c r="AK11" s="47"/>
      <c r="AL11" s="47"/>
      <c r="AM11" s="47"/>
      <c r="AN11" s="47"/>
      <c r="AO11" s="47"/>
      <c r="AP11" s="194"/>
      <c r="AQ11" s="47"/>
      <c r="AR11" s="47"/>
      <c r="AS11" s="47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>
        <v>40</v>
      </c>
      <c r="BJ11" s="194"/>
      <c r="BK11" s="194"/>
      <c r="BL11" s="194"/>
      <c r="BM11" s="194"/>
      <c r="BN11" s="194"/>
      <c r="BO11" s="194"/>
      <c r="BP11" s="194"/>
      <c r="BQ11" s="47"/>
      <c r="BR11" s="194"/>
      <c r="BS11" s="47"/>
      <c r="BT11" s="47"/>
      <c r="BU11" s="47"/>
      <c r="BV11" s="47"/>
      <c r="BW11" s="47"/>
      <c r="BX11" s="194"/>
      <c r="BY11" s="194"/>
      <c r="BZ11" s="194"/>
      <c r="CA11" s="194"/>
      <c r="CB11" s="194"/>
      <c r="CC11" s="47"/>
      <c r="CD11" s="47"/>
      <c r="CE11" s="47"/>
      <c r="CF11" s="47"/>
      <c r="CG11" s="47"/>
      <c r="CH11" s="47"/>
      <c r="CI11" s="47"/>
      <c r="CJ11" s="47"/>
      <c r="CK11" s="194"/>
      <c r="CL11" s="194"/>
      <c r="CM11" s="47"/>
      <c r="CN11" s="47"/>
      <c r="CO11" s="47"/>
      <c r="CP11" s="47"/>
      <c r="CQ11" s="47"/>
      <c r="CR11" s="47"/>
      <c r="CS11" s="198"/>
      <c r="CT11" s="47"/>
      <c r="CU11" s="47"/>
      <c r="CV11" s="47"/>
      <c r="CW11" s="47"/>
      <c r="CX11" s="194"/>
      <c r="CY11" s="47"/>
      <c r="CZ11" s="47"/>
      <c r="DA11" s="47"/>
      <c r="DB11" s="47"/>
      <c r="DC11" s="47"/>
      <c r="DD11" s="47"/>
      <c r="DE11" s="47"/>
      <c r="DF11" s="47"/>
      <c r="DG11" s="47"/>
      <c r="DH11" s="47"/>
      <c r="DI11" s="47"/>
      <c r="DJ11" s="47"/>
      <c r="DK11" s="47"/>
      <c r="DL11" s="47"/>
      <c r="DM11" s="47"/>
      <c r="DN11" s="47"/>
      <c r="DO11" s="47"/>
      <c r="DP11" s="47"/>
      <c r="DQ11" s="47"/>
      <c r="DR11" s="47"/>
      <c r="DS11" s="47"/>
      <c r="DT11" s="47"/>
      <c r="DU11" s="47"/>
      <c r="DV11" s="47"/>
      <c r="DW11" s="198"/>
      <c r="DX11" s="47"/>
      <c r="DY11" s="194"/>
      <c r="DZ11" s="198"/>
      <c r="EA11" s="47"/>
      <c r="EB11" s="194"/>
      <c r="EC11" s="47"/>
      <c r="ED11" s="195"/>
      <c r="EE11" s="195"/>
      <c r="EF11" s="195"/>
      <c r="EG11" s="195"/>
      <c r="EH11" s="195"/>
      <c r="EI11" s="196"/>
      <c r="EJ11" s="201"/>
      <c r="EK11" s="202"/>
      <c r="FA11" s="251">
        <f t="shared" si="4"/>
        <v>26</v>
      </c>
    </row>
    <row r="12" spans="1:157" s="1" customFormat="1" ht="20.149999999999999" customHeight="1" x14ac:dyDescent="0.35">
      <c r="A12" s="2"/>
      <c r="B12" s="47" t="s">
        <v>821</v>
      </c>
      <c r="C12" s="47" t="s">
        <v>1520</v>
      </c>
      <c r="D12" s="252" t="s">
        <v>638</v>
      </c>
      <c r="E12" s="2" t="s">
        <v>59</v>
      </c>
      <c r="F12" s="2" t="s">
        <v>1517</v>
      </c>
      <c r="G12" s="2" t="s">
        <v>30</v>
      </c>
      <c r="H12" s="328">
        <v>2.15</v>
      </c>
      <c r="I12" s="47"/>
      <c r="J12" s="47"/>
      <c r="K12" s="47"/>
      <c r="L12" s="47"/>
      <c r="M12" s="47"/>
      <c r="N12" s="194"/>
      <c r="O12" s="194"/>
      <c r="P12" s="194"/>
      <c r="Q12" s="194">
        <v>6</v>
      </c>
      <c r="R12" s="194">
        <f>35/5</f>
        <v>7</v>
      </c>
      <c r="S12" s="194">
        <v>7</v>
      </c>
      <c r="T12" s="47"/>
      <c r="U12" s="194"/>
      <c r="V12" s="47">
        <v>7</v>
      </c>
      <c r="W12" s="194"/>
      <c r="X12" s="47">
        <v>6</v>
      </c>
      <c r="Y12" s="194"/>
      <c r="Z12" s="194"/>
      <c r="AA12" s="47">
        <v>6</v>
      </c>
      <c r="AB12" s="47">
        <v>7</v>
      </c>
      <c r="AC12" s="47"/>
      <c r="AD12" s="47"/>
      <c r="AE12" s="194">
        <v>8</v>
      </c>
      <c r="AF12" s="194">
        <v>6</v>
      </c>
      <c r="AG12" s="194">
        <v>7</v>
      </c>
      <c r="AI12" s="47"/>
      <c r="AJ12" s="223"/>
      <c r="AK12" s="47"/>
      <c r="AL12" s="47">
        <v>7.5</v>
      </c>
      <c r="AM12" s="47">
        <v>7</v>
      </c>
      <c r="AN12" s="47"/>
      <c r="AO12" s="47"/>
      <c r="AP12" s="194"/>
      <c r="AQ12" s="47"/>
      <c r="AR12" s="47">
        <v>7</v>
      </c>
      <c r="AS12" s="47"/>
      <c r="AT12" s="194"/>
      <c r="AU12" s="194"/>
      <c r="AV12" s="194"/>
      <c r="AW12" s="194"/>
      <c r="AX12" s="194"/>
      <c r="AY12" s="194">
        <v>9</v>
      </c>
      <c r="AZ12" s="194"/>
      <c r="BA12" s="194"/>
      <c r="BB12" s="194"/>
      <c r="BC12" s="194"/>
      <c r="BD12" s="194">
        <v>6</v>
      </c>
      <c r="BE12" s="194"/>
      <c r="BF12" s="194"/>
      <c r="BG12" s="194"/>
      <c r="BH12" s="194"/>
      <c r="BI12" s="194"/>
      <c r="BJ12" s="194"/>
      <c r="BK12" s="194"/>
      <c r="BL12" s="194"/>
      <c r="BM12" s="194">
        <v>7</v>
      </c>
      <c r="BN12" s="194"/>
      <c r="BO12" s="194"/>
      <c r="BP12" s="194">
        <v>7</v>
      </c>
      <c r="BQ12" s="47"/>
      <c r="BR12" s="194"/>
      <c r="BS12" s="47">
        <v>8</v>
      </c>
      <c r="BT12" s="47">
        <v>6</v>
      </c>
      <c r="BU12" s="47"/>
      <c r="BV12" s="47"/>
      <c r="BW12" s="47"/>
      <c r="BX12" s="194"/>
      <c r="BY12" s="194"/>
      <c r="BZ12" s="194"/>
      <c r="CA12" s="194"/>
      <c r="CB12" s="194"/>
      <c r="CC12" s="47"/>
      <c r="CD12" s="47"/>
      <c r="CE12" s="47"/>
      <c r="CF12" s="47"/>
      <c r="CG12" s="47">
        <v>8</v>
      </c>
      <c r="CH12" s="47"/>
      <c r="CI12" s="47"/>
      <c r="CJ12" s="47"/>
      <c r="CK12" s="194">
        <v>7</v>
      </c>
      <c r="CL12" s="194">
        <v>7</v>
      </c>
      <c r="CM12" s="47"/>
      <c r="CN12" s="47"/>
      <c r="CO12" s="47"/>
      <c r="CP12" s="47">
        <v>7</v>
      </c>
      <c r="CQ12" s="47">
        <v>6</v>
      </c>
      <c r="CR12" s="47"/>
      <c r="CS12" s="198">
        <v>9</v>
      </c>
      <c r="CT12" s="47"/>
      <c r="CU12" s="47">
        <v>8</v>
      </c>
      <c r="CV12" s="47">
        <v>7</v>
      </c>
      <c r="CW12" s="47"/>
      <c r="CX12" s="194"/>
      <c r="CY12" s="47"/>
      <c r="CZ12" s="47"/>
      <c r="DA12" s="47"/>
      <c r="DB12" s="47"/>
      <c r="DC12" s="47"/>
      <c r="DD12" s="47"/>
      <c r="DE12" s="47"/>
      <c r="DF12" s="47"/>
      <c r="DG12" s="47"/>
      <c r="DH12" s="47"/>
      <c r="DI12" s="47"/>
      <c r="DJ12" s="47">
        <v>8</v>
      </c>
      <c r="DK12" s="47"/>
      <c r="DL12" s="47">
        <v>6</v>
      </c>
      <c r="DM12" s="47"/>
      <c r="DN12" s="47"/>
      <c r="DO12" s="47"/>
      <c r="DP12" s="47"/>
      <c r="DQ12" s="47"/>
      <c r="DR12" s="47">
        <v>6</v>
      </c>
      <c r="DS12" s="47"/>
      <c r="DT12" s="47">
        <v>8</v>
      </c>
      <c r="DU12" s="47"/>
      <c r="DV12" s="47"/>
      <c r="DW12" s="198">
        <v>8</v>
      </c>
      <c r="DX12" s="47">
        <v>6.5</v>
      </c>
      <c r="DY12" s="194">
        <v>6</v>
      </c>
      <c r="DZ12" s="198">
        <v>6</v>
      </c>
      <c r="EA12" s="47"/>
      <c r="EB12" s="194">
        <v>8</v>
      </c>
      <c r="EC12" s="47">
        <v>8</v>
      </c>
      <c r="ED12" s="195">
        <v>7</v>
      </c>
      <c r="EE12" s="195"/>
      <c r="EF12" s="195"/>
      <c r="EG12" s="195"/>
      <c r="EH12" s="195">
        <v>84</v>
      </c>
      <c r="EI12" s="196">
        <f t="shared" si="2"/>
        <v>180.6</v>
      </c>
      <c r="EJ12" s="201">
        <f t="shared" si="3"/>
        <v>2.7304999999999997</v>
      </c>
      <c r="EK12" s="202">
        <v>6</v>
      </c>
      <c r="FA12" s="251">
        <f t="shared" si="4"/>
        <v>2.15</v>
      </c>
    </row>
    <row r="13" spans="1:157" s="1" customFormat="1" ht="20.149999999999999" customHeight="1" x14ac:dyDescent="0.35">
      <c r="A13" s="2"/>
      <c r="B13" s="47" t="s">
        <v>822</v>
      </c>
      <c r="C13" s="47" t="s">
        <v>1397</v>
      </c>
      <c r="D13" s="252" t="s">
        <v>638</v>
      </c>
      <c r="E13" s="2" t="s">
        <v>59</v>
      </c>
      <c r="F13" s="2" t="s">
        <v>1517</v>
      </c>
      <c r="G13" s="2" t="s">
        <v>30</v>
      </c>
      <c r="H13" s="328">
        <v>4.68</v>
      </c>
      <c r="I13" s="47"/>
      <c r="J13" s="47"/>
      <c r="K13" s="47"/>
      <c r="L13" s="47"/>
      <c r="M13" s="47"/>
      <c r="N13" s="194"/>
      <c r="O13" s="194"/>
      <c r="P13" s="194"/>
      <c r="Q13" s="194">
        <v>7</v>
      </c>
      <c r="R13" s="194">
        <v>8</v>
      </c>
      <c r="S13" s="194">
        <v>8</v>
      </c>
      <c r="T13" s="47"/>
      <c r="U13" s="194"/>
      <c r="V13" s="47"/>
      <c r="W13" s="194"/>
      <c r="X13" s="47">
        <v>7</v>
      </c>
      <c r="Y13" s="194"/>
      <c r="Z13" s="194"/>
      <c r="AA13" s="47">
        <v>6</v>
      </c>
      <c r="AB13" s="47"/>
      <c r="AC13" s="47"/>
      <c r="AD13" s="47"/>
      <c r="AE13" s="194"/>
      <c r="AF13" s="194"/>
      <c r="AG13" s="194">
        <v>8</v>
      </c>
      <c r="AI13" s="47"/>
      <c r="AJ13" s="223"/>
      <c r="AK13" s="47"/>
      <c r="AL13" s="47"/>
      <c r="AM13" s="47">
        <v>8</v>
      </c>
      <c r="AN13" s="47"/>
      <c r="AO13" s="47"/>
      <c r="AP13" s="194"/>
      <c r="AQ13" s="47"/>
      <c r="AR13" s="47">
        <v>10</v>
      </c>
      <c r="AS13" s="47"/>
      <c r="AT13" s="194"/>
      <c r="AU13" s="194"/>
      <c r="AV13" s="194"/>
      <c r="AW13" s="194"/>
      <c r="AX13" s="194"/>
      <c r="AY13" s="194">
        <v>7</v>
      </c>
      <c r="AZ13" s="194"/>
      <c r="BA13" s="194"/>
      <c r="BB13" s="194">
        <v>8</v>
      </c>
      <c r="BC13" s="194"/>
      <c r="BD13" s="194">
        <v>7</v>
      </c>
      <c r="BE13" s="194">
        <v>7</v>
      </c>
      <c r="BF13" s="194"/>
      <c r="BG13" s="194"/>
      <c r="BH13" s="194"/>
      <c r="BI13" s="194"/>
      <c r="BJ13" s="194"/>
      <c r="BK13" s="194"/>
      <c r="BL13" s="194"/>
      <c r="BM13" s="194">
        <v>8</v>
      </c>
      <c r="BN13" s="194"/>
      <c r="BO13" s="194"/>
      <c r="BP13" s="194"/>
      <c r="BQ13" s="47"/>
      <c r="BR13" s="194"/>
      <c r="BS13" s="47">
        <v>8</v>
      </c>
      <c r="BT13" s="47"/>
      <c r="BU13" s="47"/>
      <c r="BV13" s="47"/>
      <c r="BW13" s="47"/>
      <c r="BX13" s="194"/>
      <c r="BY13" s="194"/>
      <c r="BZ13" s="194"/>
      <c r="CA13" s="194"/>
      <c r="CB13" s="194"/>
      <c r="CC13" s="47"/>
      <c r="CD13" s="47"/>
      <c r="CE13" s="47"/>
      <c r="CF13" s="47"/>
      <c r="CG13" s="47">
        <v>8</v>
      </c>
      <c r="CH13" s="47"/>
      <c r="CI13" s="47"/>
      <c r="CJ13" s="47">
        <v>6</v>
      </c>
      <c r="CK13" s="194"/>
      <c r="CL13" s="194">
        <v>8</v>
      </c>
      <c r="CM13" s="47"/>
      <c r="CN13" s="47"/>
      <c r="CO13" s="47">
        <v>7</v>
      </c>
      <c r="CP13" s="47">
        <v>7</v>
      </c>
      <c r="CQ13" s="47">
        <v>6</v>
      </c>
      <c r="CR13" s="47"/>
      <c r="CS13" s="198">
        <v>10</v>
      </c>
      <c r="CT13" s="47"/>
      <c r="CU13" s="47">
        <v>10</v>
      </c>
      <c r="CV13" s="47">
        <v>9</v>
      </c>
      <c r="CW13" s="47"/>
      <c r="CX13" s="194"/>
      <c r="CY13" s="47"/>
      <c r="CZ13" s="47"/>
      <c r="DA13" s="47"/>
      <c r="DB13" s="47"/>
      <c r="DC13" s="47"/>
      <c r="DD13" s="47"/>
      <c r="DE13" s="47"/>
      <c r="DF13" s="47"/>
      <c r="DG13" s="47"/>
      <c r="DH13" s="47"/>
      <c r="DI13" s="47">
        <v>8</v>
      </c>
      <c r="DJ13" s="47">
        <v>9</v>
      </c>
      <c r="DK13" s="47"/>
      <c r="DL13" s="47"/>
      <c r="DM13" s="47"/>
      <c r="DN13" s="47"/>
      <c r="DO13" s="47"/>
      <c r="DP13" s="47"/>
      <c r="DQ13" s="47"/>
      <c r="DR13" s="47">
        <v>10</v>
      </c>
      <c r="DS13" s="47"/>
      <c r="DT13" s="47"/>
      <c r="DU13" s="47"/>
      <c r="DV13" s="47"/>
      <c r="DW13" s="198">
        <v>8</v>
      </c>
      <c r="DX13" s="47">
        <v>7</v>
      </c>
      <c r="DY13" s="194">
        <v>7</v>
      </c>
      <c r="DZ13" s="198">
        <v>7</v>
      </c>
      <c r="EA13" s="47"/>
      <c r="EB13" s="194">
        <v>10</v>
      </c>
      <c r="EC13" s="47">
        <v>10</v>
      </c>
      <c r="ED13" s="195">
        <v>10</v>
      </c>
      <c r="EE13" s="195"/>
      <c r="EF13" s="195"/>
      <c r="EG13" s="195"/>
      <c r="EH13" s="195">
        <v>24</v>
      </c>
      <c r="EI13" s="196">
        <f t="shared" si="2"/>
        <v>112.32</v>
      </c>
      <c r="EJ13" s="201">
        <f t="shared" si="3"/>
        <v>5.9436</v>
      </c>
      <c r="EK13" s="202">
        <v>6</v>
      </c>
      <c r="FA13" s="251">
        <f t="shared" si="4"/>
        <v>4.68</v>
      </c>
    </row>
    <row r="14" spans="1:157" s="1" customFormat="1" ht="20.149999999999999" customHeight="1" x14ac:dyDescent="0.35">
      <c r="A14" s="47"/>
      <c r="B14" s="47" t="s">
        <v>823</v>
      </c>
      <c r="C14" s="47" t="s">
        <v>1398</v>
      </c>
      <c r="D14" s="252" t="s">
        <v>638</v>
      </c>
      <c r="E14" s="2" t="s">
        <v>33</v>
      </c>
      <c r="F14" s="2" t="s">
        <v>1517</v>
      </c>
      <c r="G14" s="2" t="s">
        <v>30</v>
      </c>
      <c r="H14" s="328">
        <v>5</v>
      </c>
      <c r="I14" s="47"/>
      <c r="J14" s="47"/>
      <c r="K14" s="47"/>
      <c r="L14" s="47"/>
      <c r="M14" s="47"/>
      <c r="N14" s="194"/>
      <c r="O14" s="194"/>
      <c r="P14" s="194"/>
      <c r="Q14" s="194">
        <v>7</v>
      </c>
      <c r="R14" s="47"/>
      <c r="S14" s="194"/>
      <c r="T14" s="47"/>
      <c r="U14" s="194"/>
      <c r="V14" s="47"/>
      <c r="W14" s="194"/>
      <c r="X14" s="47">
        <v>6</v>
      </c>
      <c r="Y14" s="194"/>
      <c r="Z14" s="194"/>
      <c r="AA14" s="47"/>
      <c r="AB14" s="47"/>
      <c r="AC14" s="47"/>
      <c r="AD14" s="47"/>
      <c r="AE14" s="194"/>
      <c r="AF14" s="194"/>
      <c r="AG14" s="194"/>
      <c r="AI14" s="47"/>
      <c r="AJ14" s="223"/>
      <c r="AK14" s="47"/>
      <c r="AL14" s="47"/>
      <c r="AM14" s="47"/>
      <c r="AN14" s="47"/>
      <c r="AO14" s="47"/>
      <c r="AP14" s="194"/>
      <c r="AQ14" s="47"/>
      <c r="AR14" s="47"/>
      <c r="AS14" s="47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47"/>
      <c r="BR14" s="194"/>
      <c r="BS14" s="47"/>
      <c r="BT14" s="47"/>
      <c r="BU14" s="47"/>
      <c r="BV14" s="47"/>
      <c r="BW14" s="47"/>
      <c r="BX14" s="194"/>
      <c r="BY14" s="194"/>
      <c r="BZ14" s="194"/>
      <c r="CA14" s="194"/>
      <c r="CB14" s="194"/>
      <c r="CC14" s="47"/>
      <c r="CD14" s="47"/>
      <c r="CE14" s="47"/>
      <c r="CF14" s="47"/>
      <c r="CG14" s="47">
        <v>7</v>
      </c>
      <c r="CH14" s="47"/>
      <c r="CI14" s="47"/>
      <c r="CJ14" s="47"/>
      <c r="CK14" s="194"/>
      <c r="CL14" s="194">
        <v>6</v>
      </c>
      <c r="CM14" s="47"/>
      <c r="CN14" s="47"/>
      <c r="CO14" s="47"/>
      <c r="CP14" s="47">
        <v>7.5</v>
      </c>
      <c r="CQ14" s="47"/>
      <c r="CR14" s="47"/>
      <c r="CS14" s="47"/>
      <c r="CT14" s="47"/>
      <c r="CU14" s="47"/>
      <c r="CV14" s="47"/>
      <c r="CW14" s="47"/>
      <c r="CX14" s="194"/>
      <c r="CY14" s="47"/>
      <c r="CZ14" s="47"/>
      <c r="DA14" s="47"/>
      <c r="DB14" s="47"/>
      <c r="DC14" s="47"/>
      <c r="DD14" s="47"/>
      <c r="DE14" s="47"/>
      <c r="DF14" s="47"/>
      <c r="DG14" s="47"/>
      <c r="DH14" s="47"/>
      <c r="DI14" s="47"/>
      <c r="DJ14" s="47"/>
      <c r="DK14" s="47"/>
      <c r="DL14" s="47"/>
      <c r="DM14" s="47"/>
      <c r="DN14" s="47"/>
      <c r="DO14" s="47"/>
      <c r="DP14" s="47"/>
      <c r="DQ14" s="47"/>
      <c r="DR14" s="47"/>
      <c r="DS14" s="47"/>
      <c r="DT14" s="47"/>
      <c r="DU14" s="47"/>
      <c r="DV14" s="47"/>
      <c r="DW14" s="198"/>
      <c r="DX14" s="47"/>
      <c r="DY14" s="194"/>
      <c r="DZ14" s="198"/>
      <c r="EA14" s="47"/>
      <c r="EB14" s="194"/>
      <c r="EC14" s="47"/>
      <c r="ED14" s="195"/>
      <c r="EE14" s="195"/>
      <c r="EF14" s="195"/>
      <c r="EG14" s="195"/>
      <c r="EH14" s="195">
        <v>6</v>
      </c>
      <c r="EI14" s="196">
        <f t="shared" si="2"/>
        <v>30</v>
      </c>
      <c r="EJ14" s="201">
        <f t="shared" si="3"/>
        <v>6.35</v>
      </c>
      <c r="EK14" s="202">
        <f>AVERAGE(I14:EC14)</f>
        <v>6.7</v>
      </c>
      <c r="FA14" s="251">
        <f t="shared" si="4"/>
        <v>5</v>
      </c>
    </row>
    <row r="15" spans="1:157" s="1" customFormat="1" ht="20.149999999999999" customHeight="1" x14ac:dyDescent="0.35">
      <c r="A15" s="47"/>
      <c r="B15" s="47" t="s">
        <v>824</v>
      </c>
      <c r="C15" s="47" t="s">
        <v>1521</v>
      </c>
      <c r="D15" s="252" t="s">
        <v>638</v>
      </c>
      <c r="E15" s="2" t="s">
        <v>33</v>
      </c>
      <c r="F15" s="2" t="s">
        <v>1517</v>
      </c>
      <c r="G15" s="2" t="s">
        <v>30</v>
      </c>
      <c r="H15" s="328">
        <v>6.5</v>
      </c>
      <c r="I15" s="47"/>
      <c r="J15" s="47"/>
      <c r="K15" s="47"/>
      <c r="L15" s="47"/>
      <c r="M15" s="47"/>
      <c r="N15" s="194"/>
      <c r="O15" s="194"/>
      <c r="P15" s="194"/>
      <c r="Q15" s="194"/>
      <c r="R15" s="47"/>
      <c r="S15" s="194">
        <v>9</v>
      </c>
      <c r="T15" s="47"/>
      <c r="U15" s="194"/>
      <c r="V15" s="47"/>
      <c r="W15" s="194"/>
      <c r="X15" s="47"/>
      <c r="Y15" s="194"/>
      <c r="Z15" s="194"/>
      <c r="AA15" s="47"/>
      <c r="AB15" s="47"/>
      <c r="AC15" s="47"/>
      <c r="AD15" s="47"/>
      <c r="AE15" s="194"/>
      <c r="AF15" s="194"/>
      <c r="AG15" s="194"/>
      <c r="AI15" s="47"/>
      <c r="AJ15" s="198"/>
      <c r="AK15" s="47"/>
      <c r="AL15" s="47"/>
      <c r="AM15" s="47"/>
      <c r="AN15" s="47"/>
      <c r="AO15" s="47"/>
      <c r="AP15" s="194"/>
      <c r="AQ15" s="47"/>
      <c r="AR15" s="47"/>
      <c r="AS15" s="47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47"/>
      <c r="BR15" s="194"/>
      <c r="BS15" s="47"/>
      <c r="BT15" s="47"/>
      <c r="BU15" s="47"/>
      <c r="BV15" s="47"/>
      <c r="BW15" s="47"/>
      <c r="BX15" s="194"/>
      <c r="BY15" s="194"/>
      <c r="BZ15" s="194"/>
      <c r="CA15" s="194"/>
      <c r="CB15" s="194"/>
      <c r="CC15" s="47"/>
      <c r="CD15" s="47"/>
      <c r="CE15" s="47"/>
      <c r="CF15" s="47"/>
      <c r="CG15" s="47"/>
      <c r="CH15" s="47"/>
      <c r="CI15" s="47"/>
      <c r="CJ15" s="47"/>
      <c r="CK15" s="47"/>
      <c r="CL15" s="194">
        <v>9</v>
      </c>
      <c r="CM15" s="47"/>
      <c r="CN15" s="47"/>
      <c r="CO15" s="47">
        <v>9</v>
      </c>
      <c r="CP15" s="47">
        <v>9</v>
      </c>
      <c r="CQ15" s="47"/>
      <c r="CR15" s="47"/>
      <c r="CS15" s="47"/>
      <c r="CT15" s="47"/>
      <c r="CU15" s="47"/>
      <c r="CV15" s="47">
        <v>9</v>
      </c>
      <c r="CW15" s="47"/>
      <c r="CX15" s="194"/>
      <c r="CY15" s="47"/>
      <c r="CZ15" s="47"/>
      <c r="DA15" s="47"/>
      <c r="DB15" s="47"/>
      <c r="DC15" s="47"/>
      <c r="DD15" s="47"/>
      <c r="DE15" s="47"/>
      <c r="DF15" s="47"/>
      <c r="DG15" s="47"/>
      <c r="DH15" s="47"/>
      <c r="DI15" s="47">
        <v>10</v>
      </c>
      <c r="DJ15" s="47"/>
      <c r="DK15" s="47"/>
      <c r="DL15" s="47"/>
      <c r="DM15" s="47"/>
      <c r="DN15" s="47"/>
      <c r="DO15" s="47"/>
      <c r="DP15" s="47"/>
      <c r="DQ15" s="47"/>
      <c r="DR15" s="47"/>
      <c r="DS15" s="47"/>
      <c r="DT15" s="47"/>
      <c r="DU15" s="47"/>
      <c r="DV15" s="47"/>
      <c r="DW15" s="198"/>
      <c r="DX15" s="47"/>
      <c r="DY15" s="194">
        <v>7</v>
      </c>
      <c r="DZ15" s="198"/>
      <c r="EA15" s="47"/>
      <c r="EB15" s="194">
        <v>8</v>
      </c>
      <c r="EC15" s="47"/>
      <c r="ED15" s="195"/>
      <c r="EE15" s="195"/>
      <c r="EF15" s="195"/>
      <c r="EG15" s="195"/>
      <c r="EH15" s="195">
        <v>10</v>
      </c>
      <c r="EI15" s="196">
        <f t="shared" si="2"/>
        <v>65</v>
      </c>
      <c r="EJ15" s="201">
        <f t="shared" si="3"/>
        <v>8.2550000000000008</v>
      </c>
      <c r="EK15" s="202">
        <v>7</v>
      </c>
      <c r="FA15" s="251">
        <f t="shared" si="4"/>
        <v>6.5</v>
      </c>
    </row>
    <row r="16" spans="1:157" s="1" customFormat="1" ht="20.149999999999999" customHeight="1" x14ac:dyDescent="0.35">
      <c r="A16" s="47"/>
      <c r="B16" s="47" t="s">
        <v>825</v>
      </c>
      <c r="C16" s="47" t="s">
        <v>1381</v>
      </c>
      <c r="D16" s="252" t="s">
        <v>638</v>
      </c>
      <c r="E16" s="2" t="s">
        <v>33</v>
      </c>
      <c r="F16" s="2" t="s">
        <v>1517</v>
      </c>
      <c r="G16" s="2" t="s">
        <v>30</v>
      </c>
      <c r="H16" s="328">
        <v>8</v>
      </c>
      <c r="I16" s="47"/>
      <c r="J16" s="47"/>
      <c r="K16" s="47"/>
      <c r="L16" s="47"/>
      <c r="M16" s="47"/>
      <c r="N16" s="194"/>
      <c r="O16" s="194"/>
      <c r="P16" s="194"/>
      <c r="Q16" s="194"/>
      <c r="R16" s="194">
        <v>10</v>
      </c>
      <c r="S16" s="194">
        <v>10.5</v>
      </c>
      <c r="T16" s="47"/>
      <c r="U16" s="194"/>
      <c r="V16" s="47"/>
      <c r="W16" s="194"/>
      <c r="X16" s="47"/>
      <c r="Y16" s="194"/>
      <c r="Z16" s="194"/>
      <c r="AA16" s="47">
        <v>10.5</v>
      </c>
      <c r="AB16" s="47"/>
      <c r="AC16" s="47"/>
      <c r="AD16" s="47"/>
      <c r="AE16" s="194">
        <v>12</v>
      </c>
      <c r="AF16" s="194"/>
      <c r="AG16" s="194"/>
      <c r="AI16" s="47"/>
      <c r="AJ16" s="198"/>
      <c r="AK16" s="47"/>
      <c r="AL16" s="47"/>
      <c r="AM16" s="47"/>
      <c r="AN16" s="47"/>
      <c r="AO16" s="47"/>
      <c r="AP16" s="194"/>
      <c r="AQ16" s="47"/>
      <c r="AR16" s="47"/>
      <c r="AS16" s="47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>
        <v>10.5</v>
      </c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47"/>
      <c r="BR16" s="194"/>
      <c r="BS16" s="47"/>
      <c r="BT16" s="47"/>
      <c r="BU16" s="47"/>
      <c r="BV16" s="47"/>
      <c r="BW16" s="47"/>
      <c r="BX16" s="194"/>
      <c r="BY16" s="194"/>
      <c r="BZ16" s="194"/>
      <c r="CA16" s="194"/>
      <c r="CB16" s="194"/>
      <c r="CC16" s="47"/>
      <c r="CD16" s="47"/>
      <c r="CE16" s="47"/>
      <c r="CF16" s="47"/>
      <c r="CG16" s="47"/>
      <c r="CH16" s="47"/>
      <c r="CI16" s="47"/>
      <c r="CJ16" s="47"/>
      <c r="CK16" s="47"/>
      <c r="CL16" s="194">
        <v>10.5</v>
      </c>
      <c r="CM16" s="47"/>
      <c r="CN16" s="47"/>
      <c r="CO16" s="47">
        <v>10.5</v>
      </c>
      <c r="CP16" s="47">
        <v>10.5</v>
      </c>
      <c r="CQ16" s="47"/>
      <c r="CR16" s="47"/>
      <c r="CS16" s="47"/>
      <c r="CT16" s="47"/>
      <c r="CU16" s="47"/>
      <c r="CV16" s="47"/>
      <c r="CW16" s="47"/>
      <c r="CX16" s="194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198"/>
      <c r="DX16" s="47"/>
      <c r="DY16" s="194"/>
      <c r="DZ16" s="198"/>
      <c r="EA16" s="47"/>
      <c r="EB16" s="194"/>
      <c r="EC16" s="47">
        <v>10.5</v>
      </c>
      <c r="ED16" s="195"/>
      <c r="EE16" s="195"/>
      <c r="EF16" s="195"/>
      <c r="EG16" s="195"/>
      <c r="EH16" s="195">
        <v>5</v>
      </c>
      <c r="EI16" s="196">
        <f t="shared" si="2"/>
        <v>40</v>
      </c>
      <c r="EJ16" s="201">
        <f t="shared" si="3"/>
        <v>10.16</v>
      </c>
      <c r="EK16" s="202">
        <v>8</v>
      </c>
      <c r="FA16" s="251">
        <f t="shared" si="4"/>
        <v>8</v>
      </c>
    </row>
    <row r="17" spans="1:157" s="1" customFormat="1" ht="20.149999999999999" customHeight="1" x14ac:dyDescent="0.35">
      <c r="A17" s="47"/>
      <c r="B17" s="47" t="s">
        <v>826</v>
      </c>
      <c r="C17" s="47" t="s">
        <v>215</v>
      </c>
      <c r="D17" s="252" t="s">
        <v>638</v>
      </c>
      <c r="E17" s="2" t="s">
        <v>33</v>
      </c>
      <c r="F17" s="2" t="s">
        <v>1517</v>
      </c>
      <c r="G17" s="2" t="s">
        <v>30</v>
      </c>
      <c r="H17" s="57">
        <v>5.5</v>
      </c>
      <c r="I17" s="47"/>
      <c r="J17" s="47"/>
      <c r="K17" s="47"/>
      <c r="L17" s="47"/>
      <c r="M17" s="47"/>
      <c r="N17" s="194"/>
      <c r="O17" s="194"/>
      <c r="P17" s="194"/>
      <c r="Q17" s="194"/>
      <c r="R17" s="194">
        <v>10</v>
      </c>
      <c r="S17" s="194"/>
      <c r="T17" s="47"/>
      <c r="U17" s="194"/>
      <c r="V17" s="47"/>
      <c r="W17" s="194"/>
      <c r="X17" s="47"/>
      <c r="Y17" s="194"/>
      <c r="Z17" s="194"/>
      <c r="AA17" s="47"/>
      <c r="AB17" s="47"/>
      <c r="AC17" s="47"/>
      <c r="AD17" s="47"/>
      <c r="AE17" s="194"/>
      <c r="AF17" s="194"/>
      <c r="AG17" s="194"/>
      <c r="AI17" s="47"/>
      <c r="AJ17" s="223"/>
      <c r="AK17" s="47"/>
      <c r="AL17" s="47"/>
      <c r="AM17" s="47"/>
      <c r="AN17" s="47"/>
      <c r="AO17" s="47"/>
      <c r="AP17" s="194"/>
      <c r="AQ17" s="47"/>
      <c r="AR17" s="47"/>
      <c r="AS17" s="47"/>
      <c r="AT17" s="194"/>
      <c r="AU17" s="194"/>
      <c r="AV17" s="194"/>
      <c r="AW17" s="194"/>
      <c r="AX17" s="194"/>
      <c r="AY17" s="194">
        <v>8</v>
      </c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47"/>
      <c r="BR17" s="194"/>
      <c r="BS17" s="47">
        <v>8</v>
      </c>
      <c r="BT17" s="47"/>
      <c r="BU17" s="47"/>
      <c r="BV17" s="47"/>
      <c r="BW17" s="47"/>
      <c r="BX17" s="194"/>
      <c r="BY17" s="194"/>
      <c r="BZ17" s="194"/>
      <c r="CA17" s="194"/>
      <c r="CB17" s="194"/>
      <c r="CC17" s="47"/>
      <c r="CD17" s="47"/>
      <c r="CE17" s="47"/>
      <c r="CF17" s="47"/>
      <c r="CG17" s="47"/>
      <c r="CH17" s="47"/>
      <c r="CI17" s="47"/>
      <c r="CJ17" s="47">
        <v>8</v>
      </c>
      <c r="CK17" s="47"/>
      <c r="CL17" s="194"/>
      <c r="CM17" s="47"/>
      <c r="CN17" s="47"/>
      <c r="CO17" s="47">
        <v>9</v>
      </c>
      <c r="CP17" s="47">
        <v>9</v>
      </c>
      <c r="CQ17" s="47"/>
      <c r="CR17" s="47"/>
      <c r="CS17" s="47"/>
      <c r="CT17" s="47"/>
      <c r="CU17" s="47"/>
      <c r="CV17" s="47"/>
      <c r="CW17" s="47"/>
      <c r="CX17" s="194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>
        <v>8</v>
      </c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198"/>
      <c r="DX17" s="47"/>
      <c r="DY17" s="194">
        <v>8</v>
      </c>
      <c r="DZ17" s="198"/>
      <c r="EA17" s="47"/>
      <c r="EB17" s="194">
        <v>8</v>
      </c>
      <c r="EC17" s="47"/>
      <c r="ED17" s="195"/>
      <c r="EE17" s="195"/>
      <c r="EF17" s="195"/>
      <c r="EG17" s="195"/>
      <c r="EH17" s="195">
        <v>6</v>
      </c>
      <c r="EI17" s="196">
        <f t="shared" si="2"/>
        <v>33</v>
      </c>
      <c r="EJ17" s="201">
        <f t="shared" si="3"/>
        <v>6.9850000000000003</v>
      </c>
      <c r="EK17" s="202">
        <v>8</v>
      </c>
      <c r="FA17" s="251">
        <f t="shared" si="4"/>
        <v>5.5</v>
      </c>
    </row>
    <row r="18" spans="1:157" s="1" customFormat="1" ht="20.149999999999999" customHeight="1" x14ac:dyDescent="0.35">
      <c r="A18" s="47"/>
      <c r="B18" s="47" t="s">
        <v>827</v>
      </c>
      <c r="C18" s="47" t="s">
        <v>214</v>
      </c>
      <c r="D18" s="252" t="s">
        <v>638</v>
      </c>
      <c r="E18" s="2" t="s">
        <v>33</v>
      </c>
      <c r="F18" s="2" t="s">
        <v>1517</v>
      </c>
      <c r="G18" s="2" t="s">
        <v>30</v>
      </c>
      <c r="H18" s="328">
        <v>4</v>
      </c>
      <c r="I18" s="47"/>
      <c r="J18" s="47"/>
      <c r="K18" s="47"/>
      <c r="L18" s="47"/>
      <c r="M18" s="47"/>
      <c r="N18" s="194"/>
      <c r="O18" s="194"/>
      <c r="P18" s="194"/>
      <c r="Q18" s="194"/>
      <c r="R18" s="47"/>
      <c r="S18" s="194"/>
      <c r="T18" s="47"/>
      <c r="U18" s="194"/>
      <c r="V18" s="47"/>
      <c r="W18" s="194"/>
      <c r="X18" s="47"/>
      <c r="Y18" s="194"/>
      <c r="Z18" s="194"/>
      <c r="AA18" s="47"/>
      <c r="AB18" s="47"/>
      <c r="AC18" s="47"/>
      <c r="AD18" s="47"/>
      <c r="AE18" s="194"/>
      <c r="AF18" s="194"/>
      <c r="AG18" s="194"/>
      <c r="AI18" s="47"/>
      <c r="AJ18" s="198"/>
      <c r="AK18" s="47"/>
      <c r="AL18" s="47"/>
      <c r="AM18" s="47"/>
      <c r="AN18" s="47"/>
      <c r="AO18" s="47"/>
      <c r="AP18" s="194"/>
      <c r="AQ18" s="47"/>
      <c r="AR18" s="47"/>
      <c r="AS18" s="47">
        <v>10</v>
      </c>
      <c r="AT18" s="194"/>
      <c r="AU18" s="194"/>
      <c r="AV18" s="194"/>
      <c r="AW18" s="194"/>
      <c r="AX18" s="194"/>
      <c r="AY18" s="194">
        <v>7.5</v>
      </c>
      <c r="AZ18" s="194"/>
      <c r="BA18" s="194"/>
      <c r="BB18" s="194"/>
      <c r="BC18" s="194"/>
      <c r="BD18" s="194">
        <v>8</v>
      </c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47"/>
      <c r="BR18" s="194"/>
      <c r="BS18" s="47"/>
      <c r="BT18" s="47"/>
      <c r="BU18" s="47"/>
      <c r="BV18" s="47"/>
      <c r="BW18" s="47"/>
      <c r="BX18" s="194"/>
      <c r="BY18" s="194"/>
      <c r="BZ18" s="194"/>
      <c r="CA18" s="194"/>
      <c r="CB18" s="194"/>
      <c r="CC18" s="47"/>
      <c r="CD18" s="47"/>
      <c r="CE18" s="47"/>
      <c r="CF18" s="47"/>
      <c r="CG18" s="47"/>
      <c r="CH18" s="47"/>
      <c r="CI18" s="47"/>
      <c r="CJ18" s="47"/>
      <c r="CK18" s="47"/>
      <c r="CL18" s="194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194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198"/>
      <c r="DX18" s="47"/>
      <c r="DY18" s="194">
        <v>8</v>
      </c>
      <c r="DZ18" s="198"/>
      <c r="EA18" s="47"/>
      <c r="EB18" s="194">
        <v>8</v>
      </c>
      <c r="EC18" s="47"/>
      <c r="ED18" s="195"/>
      <c r="EE18" s="195"/>
      <c r="EF18" s="195"/>
      <c r="EG18" s="195"/>
      <c r="EH18" s="195">
        <v>25</v>
      </c>
      <c r="EI18" s="196">
        <f t="shared" si="2"/>
        <v>100</v>
      </c>
      <c r="EJ18" s="201">
        <f t="shared" si="3"/>
        <v>5.08</v>
      </c>
      <c r="EK18" s="202">
        <v>8</v>
      </c>
      <c r="FA18" s="251">
        <f t="shared" si="4"/>
        <v>4</v>
      </c>
    </row>
    <row r="19" spans="1:157" s="1" customFormat="1" ht="20.149999999999999" customHeight="1" x14ac:dyDescent="0.35">
      <c r="A19" s="47"/>
      <c r="B19" s="47" t="s">
        <v>828</v>
      </c>
      <c r="C19" s="1" t="s">
        <v>1522</v>
      </c>
      <c r="D19" s="252" t="s">
        <v>638</v>
      </c>
      <c r="E19" s="2" t="s">
        <v>33</v>
      </c>
      <c r="F19" s="2" t="s">
        <v>1517</v>
      </c>
      <c r="G19" s="2" t="s">
        <v>30</v>
      </c>
      <c r="H19" s="57" t="e">
        <f>AVERAGE(I19:BC19)</f>
        <v>#DIV/0!</v>
      </c>
      <c r="I19" s="47"/>
      <c r="J19" s="47"/>
      <c r="K19" s="47"/>
      <c r="L19" s="47"/>
      <c r="M19" s="47"/>
      <c r="N19" s="194"/>
      <c r="O19" s="194"/>
      <c r="P19" s="194"/>
      <c r="Q19" s="194"/>
      <c r="R19" s="47"/>
      <c r="S19" s="194"/>
      <c r="T19" s="47"/>
      <c r="U19" s="194"/>
      <c r="V19" s="47"/>
      <c r="W19" s="194"/>
      <c r="X19" s="47"/>
      <c r="Y19" s="194"/>
      <c r="Z19" s="194"/>
      <c r="AA19" s="47"/>
      <c r="AB19" s="47"/>
      <c r="AC19" s="47"/>
      <c r="AD19" s="47"/>
      <c r="AE19" s="194"/>
      <c r="AF19" s="194"/>
      <c r="AG19" s="194"/>
      <c r="AI19" s="47"/>
      <c r="AJ19" s="198"/>
      <c r="AK19" s="47"/>
      <c r="AL19" s="47"/>
      <c r="AM19" s="47"/>
      <c r="AN19" s="47"/>
      <c r="AO19" s="47"/>
      <c r="AP19" s="194"/>
      <c r="AQ19" s="47"/>
      <c r="AR19" s="47"/>
      <c r="AS19" s="47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>
        <v>7</v>
      </c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47"/>
      <c r="BR19" s="194"/>
      <c r="BS19" s="47"/>
      <c r="BT19" s="47"/>
      <c r="BU19" s="47"/>
      <c r="BV19" s="47"/>
      <c r="BW19" s="47"/>
      <c r="BX19" s="194"/>
      <c r="BY19" s="194"/>
      <c r="BZ19" s="194"/>
      <c r="CA19" s="194"/>
      <c r="CB19" s="194"/>
      <c r="CC19" s="47"/>
      <c r="CD19" s="47"/>
      <c r="CE19" s="47"/>
      <c r="CF19" s="47"/>
      <c r="CG19" s="47"/>
      <c r="CH19" s="47"/>
      <c r="CI19" s="47"/>
      <c r="CJ19" s="47"/>
      <c r="CK19" s="47"/>
      <c r="CL19" s="194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194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198"/>
      <c r="DX19" s="47"/>
      <c r="DY19" s="194"/>
      <c r="DZ19" s="198"/>
      <c r="EA19" s="47"/>
      <c r="EB19" s="194"/>
      <c r="EC19" s="47"/>
      <c r="ED19" s="195"/>
      <c r="EE19" s="195"/>
      <c r="EF19" s="195"/>
      <c r="EG19" s="195"/>
      <c r="EH19" s="195">
        <v>0</v>
      </c>
      <c r="EI19" s="196" t="e">
        <f t="shared" si="2"/>
        <v>#DIV/0!</v>
      </c>
      <c r="EJ19" s="201" t="e">
        <f t="shared" si="3"/>
        <v>#DIV/0!</v>
      </c>
      <c r="EK19" s="202">
        <v>7</v>
      </c>
      <c r="FA19" s="251" t="e">
        <f t="shared" si="4"/>
        <v>#DIV/0!</v>
      </c>
    </row>
    <row r="20" spans="1:157" s="1" customFormat="1" ht="20.149999999999999" customHeight="1" x14ac:dyDescent="0.35">
      <c r="A20" s="47"/>
      <c r="B20" s="47" t="s">
        <v>829</v>
      </c>
      <c r="C20" s="1" t="s">
        <v>1399</v>
      </c>
      <c r="D20" s="252" t="s">
        <v>638</v>
      </c>
      <c r="E20" s="2" t="s">
        <v>33</v>
      </c>
      <c r="F20" s="2" t="s">
        <v>1523</v>
      </c>
      <c r="G20" s="2" t="s">
        <v>35</v>
      </c>
      <c r="H20" s="328">
        <v>6</v>
      </c>
      <c r="I20" s="47"/>
      <c r="J20" s="47"/>
      <c r="K20" s="47"/>
      <c r="L20" s="47"/>
      <c r="M20" s="47"/>
      <c r="N20" s="194"/>
      <c r="O20" s="194"/>
      <c r="P20" s="194"/>
      <c r="Q20" s="194"/>
      <c r="R20" s="47"/>
      <c r="S20" s="194"/>
      <c r="T20" s="47"/>
      <c r="U20" s="194"/>
      <c r="V20" s="47"/>
      <c r="W20" s="194"/>
      <c r="X20" s="47">
        <v>7.5</v>
      </c>
      <c r="Y20" s="194"/>
      <c r="Z20" s="194"/>
      <c r="AA20" s="47"/>
      <c r="AB20" s="47"/>
      <c r="AC20" s="47"/>
      <c r="AD20" s="47"/>
      <c r="AE20" s="194"/>
      <c r="AF20" s="194"/>
      <c r="AG20" s="194"/>
      <c r="AI20" s="47"/>
      <c r="AJ20" s="198"/>
      <c r="AK20" s="47"/>
      <c r="AL20" s="47"/>
      <c r="AM20" s="47"/>
      <c r="AN20" s="47"/>
      <c r="AO20" s="47"/>
      <c r="AP20" s="194"/>
      <c r="AQ20" s="47"/>
      <c r="AR20" s="47"/>
      <c r="AS20" s="47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47"/>
      <c r="BR20" s="194"/>
      <c r="BS20" s="47"/>
      <c r="BT20" s="47"/>
      <c r="BU20" s="47"/>
      <c r="BV20" s="47"/>
      <c r="BW20" s="47"/>
      <c r="BX20" s="194"/>
      <c r="BY20" s="194"/>
      <c r="BZ20" s="194"/>
      <c r="CA20" s="194"/>
      <c r="CB20" s="194"/>
      <c r="CC20" s="47"/>
      <c r="CD20" s="47"/>
      <c r="CE20" s="47"/>
      <c r="CF20" s="47"/>
      <c r="CG20" s="47"/>
      <c r="CH20" s="47"/>
      <c r="CI20" s="47"/>
      <c r="CJ20" s="47"/>
      <c r="CK20" s="47"/>
      <c r="CL20" s="194">
        <v>8.5</v>
      </c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194">
        <v>8.5</v>
      </c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198"/>
      <c r="DX20" s="47"/>
      <c r="DY20" s="194"/>
      <c r="DZ20" s="47"/>
      <c r="EA20" s="47"/>
      <c r="EB20" s="194"/>
      <c r="EC20" s="47"/>
      <c r="ED20" s="195"/>
      <c r="EE20" s="195"/>
      <c r="EF20" s="195"/>
      <c r="EG20" s="195"/>
      <c r="EH20" s="195">
        <v>15</v>
      </c>
      <c r="EI20" s="196">
        <f t="shared" si="2"/>
        <v>90</v>
      </c>
      <c r="EJ20" s="201">
        <f t="shared" si="3"/>
        <v>7.62</v>
      </c>
      <c r="EK20" s="202">
        <v>7</v>
      </c>
      <c r="FA20" s="251">
        <f t="shared" si="4"/>
        <v>6</v>
      </c>
    </row>
    <row r="21" spans="1:157" s="1" customFormat="1" ht="20.149999999999999" customHeight="1" x14ac:dyDescent="0.35">
      <c r="A21" s="2"/>
      <c r="B21" s="47" t="s">
        <v>830</v>
      </c>
      <c r="C21" s="47" t="s">
        <v>1524</v>
      </c>
      <c r="D21" s="252" t="s">
        <v>638</v>
      </c>
      <c r="E21" s="2" t="s">
        <v>59</v>
      </c>
      <c r="F21" s="2" t="s">
        <v>1525</v>
      </c>
      <c r="G21" s="2" t="s">
        <v>37</v>
      </c>
      <c r="H21" s="328">
        <v>0.89</v>
      </c>
      <c r="I21" s="47"/>
      <c r="J21" s="47">
        <v>8.5</v>
      </c>
      <c r="K21" s="47"/>
      <c r="L21" s="47">
        <v>8</v>
      </c>
      <c r="M21" s="47"/>
      <c r="N21" s="194"/>
      <c r="O21" s="194"/>
      <c r="P21" s="194"/>
      <c r="Q21" s="194"/>
      <c r="R21" s="47"/>
      <c r="S21" s="194">
        <v>7</v>
      </c>
      <c r="T21" s="47"/>
      <c r="U21" s="194"/>
      <c r="V21" s="47"/>
      <c r="W21" s="194"/>
      <c r="X21" s="47">
        <v>8</v>
      </c>
      <c r="Y21" s="194"/>
      <c r="Z21" s="194"/>
      <c r="AA21" s="47"/>
      <c r="AB21" s="47">
        <v>6</v>
      </c>
      <c r="AC21" s="47"/>
      <c r="AD21" s="47"/>
      <c r="AE21" s="194"/>
      <c r="AF21" s="194"/>
      <c r="AG21" s="194"/>
      <c r="AI21" s="47"/>
      <c r="AJ21" s="223"/>
      <c r="AK21" s="47"/>
      <c r="AL21" s="47">
        <v>7</v>
      </c>
      <c r="AM21" s="47"/>
      <c r="AN21" s="47"/>
      <c r="AO21" s="47"/>
      <c r="AP21" s="194"/>
      <c r="AQ21" s="47">
        <v>8</v>
      </c>
      <c r="AR21" s="47"/>
      <c r="AS21" s="47"/>
      <c r="AT21" s="194"/>
      <c r="AU21" s="194"/>
      <c r="AV21" s="194"/>
      <c r="AW21" s="194"/>
      <c r="AX21" s="194"/>
      <c r="AY21" s="194">
        <v>8.5</v>
      </c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47">
        <v>6</v>
      </c>
      <c r="BR21" s="194"/>
      <c r="BS21" s="47"/>
      <c r="BT21" s="47"/>
      <c r="BU21" s="47"/>
      <c r="BV21" s="47"/>
      <c r="BW21" s="47">
        <v>6</v>
      </c>
      <c r="BX21" s="194">
        <v>7</v>
      </c>
      <c r="BY21" s="194"/>
      <c r="BZ21" s="194"/>
      <c r="CA21" s="194"/>
      <c r="CB21" s="194"/>
      <c r="CC21" s="47">
        <v>6</v>
      </c>
      <c r="CD21" s="194">
        <v>6</v>
      </c>
      <c r="CE21" s="47"/>
      <c r="CF21" s="47"/>
      <c r="CG21" s="47"/>
      <c r="CH21" s="47"/>
      <c r="CI21" s="47"/>
      <c r="CJ21" s="47"/>
      <c r="CK21" s="194"/>
      <c r="CL21" s="194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>
        <v>6</v>
      </c>
      <c r="CX21" s="194"/>
      <c r="CY21" s="47"/>
      <c r="CZ21" s="47"/>
      <c r="DA21" s="47">
        <v>6</v>
      </c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>
        <v>5</v>
      </c>
      <c r="DV21" s="47"/>
      <c r="DW21" s="198">
        <v>7</v>
      </c>
      <c r="DX21" s="47"/>
      <c r="DY21" s="194"/>
      <c r="DZ21" s="198"/>
      <c r="EA21" s="47"/>
      <c r="EB21" s="194"/>
      <c r="EC21" s="47"/>
      <c r="ED21" s="195"/>
      <c r="EE21" s="195"/>
      <c r="EF21" s="195"/>
      <c r="EG21" s="195">
        <v>7</v>
      </c>
      <c r="EH21" s="195">
        <v>85</v>
      </c>
      <c r="EI21" s="196">
        <f t="shared" si="2"/>
        <v>75.650000000000006</v>
      </c>
      <c r="EJ21" s="201">
        <f t="shared" si="3"/>
        <v>1.1303000000000001</v>
      </c>
      <c r="EK21" s="202">
        <v>6</v>
      </c>
      <c r="FA21" s="251">
        <f t="shared" si="4"/>
        <v>0.89</v>
      </c>
    </row>
    <row r="22" spans="1:157" s="1" customFormat="1" ht="20.149999999999999" customHeight="1" x14ac:dyDescent="0.35">
      <c r="A22" s="2"/>
      <c r="B22" s="47" t="s">
        <v>831</v>
      </c>
      <c r="C22" s="47" t="s">
        <v>1400</v>
      </c>
      <c r="D22" s="252" t="s">
        <v>638</v>
      </c>
      <c r="E22" s="2" t="s">
        <v>59</v>
      </c>
      <c r="F22" s="2" t="s">
        <v>1526</v>
      </c>
      <c r="G22" s="2" t="s">
        <v>37</v>
      </c>
      <c r="H22" s="328">
        <v>2.44</v>
      </c>
      <c r="I22" s="47"/>
      <c r="J22" s="47"/>
      <c r="K22" s="47"/>
      <c r="L22" s="47">
        <v>9</v>
      </c>
      <c r="M22" s="47">
        <v>7</v>
      </c>
      <c r="N22" s="194"/>
      <c r="O22" s="194"/>
      <c r="P22" s="194"/>
      <c r="Q22" s="194"/>
      <c r="R22" s="47"/>
      <c r="S22" s="194">
        <v>7</v>
      </c>
      <c r="T22" s="47"/>
      <c r="U22" s="194"/>
      <c r="V22" s="47"/>
      <c r="W22" s="194"/>
      <c r="X22" s="47">
        <v>7</v>
      </c>
      <c r="Y22" s="194"/>
      <c r="Z22" s="194"/>
      <c r="AA22" s="47"/>
      <c r="AB22" s="47">
        <f>28/4</f>
        <v>7</v>
      </c>
      <c r="AC22" s="47"/>
      <c r="AD22" s="47"/>
      <c r="AE22" s="194"/>
      <c r="AF22" s="194">
        <v>7</v>
      </c>
      <c r="AG22" s="194"/>
      <c r="AH22" s="5"/>
      <c r="AI22" s="47"/>
      <c r="AJ22" s="223"/>
      <c r="AK22" s="47"/>
      <c r="AL22" s="47"/>
      <c r="AM22" s="47"/>
      <c r="AN22" s="47"/>
      <c r="AO22" s="47"/>
      <c r="AP22" s="194"/>
      <c r="AQ22" s="47"/>
      <c r="AR22" s="47">
        <v>7</v>
      </c>
      <c r="AS22" s="47"/>
      <c r="AT22" s="194">
        <v>7</v>
      </c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>
        <v>7</v>
      </c>
      <c r="BM22" s="194">
        <v>6.5</v>
      </c>
      <c r="BN22" s="194"/>
      <c r="BO22" s="194"/>
      <c r="BP22" s="194"/>
      <c r="BQ22" s="47">
        <v>6.5</v>
      </c>
      <c r="BR22" s="194"/>
      <c r="BS22" s="47">
        <v>7</v>
      </c>
      <c r="BT22" s="47"/>
      <c r="BU22" s="47"/>
      <c r="BV22" s="47"/>
      <c r="BW22" s="47"/>
      <c r="BX22" s="194">
        <v>7</v>
      </c>
      <c r="BY22" s="194"/>
      <c r="BZ22" s="194"/>
      <c r="CA22" s="194"/>
      <c r="CB22" s="194"/>
      <c r="CC22" s="47"/>
      <c r="CD22" s="47"/>
      <c r="CE22" s="47"/>
      <c r="CF22" s="47"/>
      <c r="CG22" s="47">
        <v>7</v>
      </c>
      <c r="CH22" s="47"/>
      <c r="CI22" s="47"/>
      <c r="CJ22" s="47"/>
      <c r="CK22" s="194"/>
      <c r="CL22" s="194">
        <v>7</v>
      </c>
      <c r="CM22" s="47"/>
      <c r="CN22" s="47"/>
      <c r="CO22" s="47">
        <v>7</v>
      </c>
      <c r="CP22" s="47">
        <v>7.5</v>
      </c>
      <c r="CQ22" s="47">
        <v>6.5</v>
      </c>
      <c r="CR22" s="47"/>
      <c r="CS22" s="47"/>
      <c r="CT22" s="47"/>
      <c r="CU22" s="47">
        <v>7</v>
      </c>
      <c r="CV22" s="47"/>
      <c r="CW22" s="47"/>
      <c r="CX22" s="194">
        <v>7</v>
      </c>
      <c r="CY22" s="47"/>
      <c r="CZ22" s="47"/>
      <c r="DA22" s="47"/>
      <c r="DB22" s="47"/>
      <c r="DC22" s="47"/>
      <c r="DD22" s="47"/>
      <c r="DE22" s="47"/>
      <c r="DF22" s="47"/>
      <c r="DG22" s="47"/>
      <c r="DH22" s="47"/>
      <c r="DI22" s="47"/>
      <c r="DJ22" s="47">
        <v>7</v>
      </c>
      <c r="DK22" s="47">
        <v>7</v>
      </c>
      <c r="DL22" s="47"/>
      <c r="DM22" s="47"/>
      <c r="DN22" s="47"/>
      <c r="DO22" s="47"/>
      <c r="DP22" s="47"/>
      <c r="DQ22" s="47"/>
      <c r="DR22" s="47"/>
      <c r="DS22" s="47"/>
      <c r="DT22" s="47"/>
      <c r="DU22" s="47"/>
      <c r="DV22" s="47"/>
      <c r="DW22" s="198"/>
      <c r="DX22" s="47"/>
      <c r="DY22" s="194"/>
      <c r="DZ22" s="198"/>
      <c r="EA22" s="47"/>
      <c r="EB22" s="194"/>
      <c r="EC22" s="47"/>
      <c r="ED22" s="195"/>
      <c r="EE22" s="195"/>
      <c r="EF22" s="195"/>
      <c r="EG22" s="195"/>
      <c r="EH22" s="195"/>
      <c r="EI22" s="196">
        <f t="shared" si="2"/>
        <v>0</v>
      </c>
      <c r="EJ22" s="201">
        <f t="shared" si="3"/>
        <v>3.0987999999999998</v>
      </c>
      <c r="EK22" s="202">
        <v>6.5</v>
      </c>
      <c r="EL22" s="5">
        <v>7</v>
      </c>
      <c r="FA22" s="251">
        <f t="shared" si="4"/>
        <v>2.44</v>
      </c>
    </row>
    <row r="23" spans="1:157" s="1" customFormat="1" ht="20.149999999999999" customHeight="1" x14ac:dyDescent="0.35">
      <c r="A23" s="2"/>
      <c r="B23" s="47" t="s">
        <v>1192</v>
      </c>
      <c r="C23" s="47" t="s">
        <v>1527</v>
      </c>
      <c r="D23" s="252" t="s">
        <v>638</v>
      </c>
      <c r="E23" s="2" t="s">
        <v>59</v>
      </c>
      <c r="F23" s="2" t="s">
        <v>1528</v>
      </c>
      <c r="G23" s="2" t="s">
        <v>37</v>
      </c>
      <c r="H23" s="328">
        <v>0</v>
      </c>
      <c r="I23" s="47"/>
      <c r="J23" s="47"/>
      <c r="K23" s="47"/>
      <c r="L23" s="47"/>
      <c r="M23" s="47"/>
      <c r="N23" s="194"/>
      <c r="O23" s="194"/>
      <c r="P23" s="194"/>
      <c r="Q23" s="194"/>
      <c r="R23" s="47"/>
      <c r="S23" s="194"/>
      <c r="T23" s="47"/>
      <c r="U23" s="194"/>
      <c r="V23" s="47"/>
      <c r="W23" s="194"/>
      <c r="X23" s="47"/>
      <c r="Y23" s="194"/>
      <c r="Z23" s="194"/>
      <c r="AA23" s="47"/>
      <c r="AB23" s="47"/>
      <c r="AC23" s="47"/>
      <c r="AD23" s="47"/>
      <c r="AE23" s="194"/>
      <c r="AF23" s="194"/>
      <c r="AG23" s="194"/>
      <c r="AI23" s="47"/>
      <c r="AJ23" s="223"/>
      <c r="AK23" s="47"/>
      <c r="AL23" s="47"/>
      <c r="AM23" s="47"/>
      <c r="AN23" s="47"/>
      <c r="AO23" s="47"/>
      <c r="AP23" s="194"/>
      <c r="AQ23" s="47"/>
      <c r="AR23" s="47"/>
      <c r="AS23" s="47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47"/>
      <c r="BR23" s="194"/>
      <c r="BS23" s="47"/>
      <c r="BT23" s="47"/>
      <c r="BU23" s="47"/>
      <c r="BV23" s="47"/>
      <c r="BW23" s="47"/>
      <c r="BX23" s="194"/>
      <c r="BY23" s="194"/>
      <c r="BZ23" s="194"/>
      <c r="CA23" s="194"/>
      <c r="CB23" s="194"/>
      <c r="CC23" s="47"/>
      <c r="CD23" s="47"/>
      <c r="CE23" s="47"/>
      <c r="CF23" s="47"/>
      <c r="CG23" s="47"/>
      <c r="CH23" s="47"/>
      <c r="CI23" s="47"/>
      <c r="CJ23" s="47"/>
      <c r="CK23" s="194"/>
      <c r="CL23" s="194"/>
      <c r="CM23" s="47"/>
      <c r="CN23" s="47"/>
      <c r="CO23" s="47"/>
      <c r="CP23" s="47"/>
      <c r="CQ23" s="47"/>
      <c r="CR23" s="47"/>
      <c r="CS23" s="47"/>
      <c r="CT23" s="47"/>
      <c r="CU23" s="47"/>
      <c r="CV23" s="47"/>
      <c r="CW23" s="47"/>
      <c r="CX23" s="194"/>
      <c r="CY23" s="47"/>
      <c r="CZ23" s="47"/>
      <c r="DA23" s="47"/>
      <c r="DB23" s="47"/>
      <c r="DC23" s="47"/>
      <c r="DD23" s="47"/>
      <c r="DE23" s="47"/>
      <c r="DF23" s="47"/>
      <c r="DG23" s="47"/>
      <c r="DH23" s="47"/>
      <c r="DI23" s="47"/>
      <c r="DJ23" s="47"/>
      <c r="DK23" s="47"/>
      <c r="DL23" s="47"/>
      <c r="DM23" s="47"/>
      <c r="DN23" s="47"/>
      <c r="DO23" s="47"/>
      <c r="DP23" s="47"/>
      <c r="DQ23" s="47"/>
      <c r="DR23" s="47"/>
      <c r="DS23" s="47"/>
      <c r="DT23" s="47"/>
      <c r="DU23" s="47"/>
      <c r="DV23" s="47"/>
      <c r="DW23" s="198"/>
      <c r="DX23" s="47"/>
      <c r="DY23" s="194"/>
      <c r="DZ23" s="198"/>
      <c r="EA23" s="47"/>
      <c r="EB23" s="194"/>
      <c r="EC23" s="47"/>
      <c r="ED23" s="195"/>
      <c r="EE23" s="195"/>
      <c r="EF23" s="195"/>
      <c r="EG23" s="195"/>
      <c r="EH23" s="195"/>
      <c r="EI23" s="196"/>
      <c r="EJ23" s="201"/>
      <c r="EK23" s="202"/>
      <c r="FA23" s="251">
        <f t="shared" si="4"/>
        <v>0</v>
      </c>
    </row>
    <row r="24" spans="1:157" s="1" customFormat="1" ht="20.149999999999999" customHeight="1" x14ac:dyDescent="0.35">
      <c r="A24" s="2"/>
      <c r="B24" s="47" t="s">
        <v>832</v>
      </c>
      <c r="C24" s="47" t="s">
        <v>1400</v>
      </c>
      <c r="D24" s="252" t="s">
        <v>638</v>
      </c>
      <c r="E24" s="2" t="s">
        <v>631</v>
      </c>
      <c r="F24" s="2" t="s">
        <v>1172</v>
      </c>
      <c r="G24" s="2" t="s">
        <v>37</v>
      </c>
      <c r="H24" s="328">
        <v>7</v>
      </c>
      <c r="I24" s="47"/>
      <c r="J24" s="47"/>
      <c r="K24" s="47"/>
      <c r="L24" s="47"/>
      <c r="M24" s="47">
        <v>9.5</v>
      </c>
      <c r="N24" s="194"/>
      <c r="O24" s="194"/>
      <c r="P24" s="194"/>
      <c r="Q24" s="194"/>
      <c r="R24" s="47"/>
      <c r="S24" s="194"/>
      <c r="T24" s="47"/>
      <c r="U24" s="194"/>
      <c r="V24" s="47"/>
      <c r="W24" s="194"/>
      <c r="X24" s="47"/>
      <c r="Y24" s="194"/>
      <c r="Z24" s="194"/>
      <c r="AA24" s="47"/>
      <c r="AB24" s="47"/>
      <c r="AC24" s="47"/>
      <c r="AD24" s="47"/>
      <c r="AE24" s="194"/>
      <c r="AF24" s="194">
        <v>9.8000000000000007</v>
      </c>
      <c r="AG24" s="194"/>
      <c r="AI24" s="47"/>
      <c r="AJ24" s="223"/>
      <c r="AK24" s="47"/>
      <c r="AL24" s="47"/>
      <c r="AM24" s="47"/>
      <c r="AN24" s="47"/>
      <c r="AO24" s="47"/>
      <c r="AP24" s="194"/>
      <c r="AQ24" s="47"/>
      <c r="AR24" s="47"/>
      <c r="AS24" s="47"/>
      <c r="AT24" s="194"/>
      <c r="AU24" s="194"/>
      <c r="AV24" s="194"/>
      <c r="AW24" s="194"/>
      <c r="AX24" s="194"/>
      <c r="AY24" s="194">
        <v>10</v>
      </c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47"/>
      <c r="BR24" s="194"/>
      <c r="BS24" s="47"/>
      <c r="BT24" s="47"/>
      <c r="BU24" s="47"/>
      <c r="BV24" s="47"/>
      <c r="BW24" s="47"/>
      <c r="BX24" s="194"/>
      <c r="BY24" s="194"/>
      <c r="BZ24" s="194"/>
      <c r="CA24" s="194"/>
      <c r="CB24" s="194"/>
      <c r="CC24" s="47"/>
      <c r="CD24" s="47"/>
      <c r="CE24" s="47"/>
      <c r="CF24" s="47"/>
      <c r="CG24" s="47"/>
      <c r="CH24" s="47"/>
      <c r="CI24" s="47"/>
      <c r="CJ24" s="47"/>
      <c r="CK24" s="194"/>
      <c r="CL24" s="194"/>
      <c r="CM24" s="47"/>
      <c r="CN24" s="47"/>
      <c r="CO24" s="47"/>
      <c r="CP24" s="47"/>
      <c r="CQ24" s="47"/>
      <c r="CR24" s="47"/>
      <c r="CS24" s="47">
        <v>9</v>
      </c>
      <c r="CT24" s="47"/>
      <c r="CU24" s="47"/>
      <c r="CV24" s="47"/>
      <c r="CW24" s="47"/>
      <c r="CX24" s="194"/>
      <c r="CY24" s="47"/>
      <c r="CZ24" s="47"/>
      <c r="DA24" s="47"/>
      <c r="DB24" s="47"/>
      <c r="DC24" s="47"/>
      <c r="DD24" s="47"/>
      <c r="DE24" s="47"/>
      <c r="DF24" s="47"/>
      <c r="DG24" s="47"/>
      <c r="DH24" s="47"/>
      <c r="DI24" s="47"/>
      <c r="DJ24" s="47"/>
      <c r="DK24" s="47"/>
      <c r="DL24" s="47"/>
      <c r="DM24" s="47"/>
      <c r="DN24" s="47"/>
      <c r="DO24" s="47"/>
      <c r="DP24" s="47"/>
      <c r="DQ24" s="47"/>
      <c r="DR24" s="47"/>
      <c r="DS24" s="47"/>
      <c r="DT24" s="47"/>
      <c r="DU24" s="47"/>
      <c r="DV24" s="47"/>
      <c r="DW24" s="198"/>
      <c r="DX24" s="47"/>
      <c r="DY24" s="194"/>
      <c r="DZ24" s="198"/>
      <c r="EA24" s="47"/>
      <c r="EB24" s="194"/>
      <c r="EC24" s="47"/>
      <c r="ED24" s="195"/>
      <c r="EE24" s="195"/>
      <c r="EF24" s="195"/>
      <c r="EG24" s="195"/>
      <c r="EH24" s="195">
        <v>4</v>
      </c>
      <c r="EI24" s="196">
        <f t="shared" si="2"/>
        <v>28</v>
      </c>
      <c r="EJ24" s="201">
        <f t="shared" si="3"/>
        <v>8.89</v>
      </c>
      <c r="EK24" s="202">
        <f>AVERAGE(I24:EC24)</f>
        <v>9.5749999999999993</v>
      </c>
      <c r="FA24" s="251">
        <f t="shared" si="4"/>
        <v>7</v>
      </c>
    </row>
    <row r="25" spans="1:157" s="1" customFormat="1" ht="20.149999999999999" customHeight="1" x14ac:dyDescent="0.35">
      <c r="A25" s="47"/>
      <c r="B25" s="47" t="s">
        <v>833</v>
      </c>
      <c r="C25" s="47" t="s">
        <v>1529</v>
      </c>
      <c r="D25" s="252" t="s">
        <v>638</v>
      </c>
      <c r="E25" s="2" t="s">
        <v>59</v>
      </c>
      <c r="F25" s="2" t="s">
        <v>1530</v>
      </c>
      <c r="G25" s="2" t="s">
        <v>88</v>
      </c>
      <c r="H25" s="328">
        <v>8.89</v>
      </c>
      <c r="I25" s="47">
        <v>15</v>
      </c>
      <c r="J25" s="47"/>
      <c r="K25" s="47">
        <v>16</v>
      </c>
      <c r="L25" s="47"/>
      <c r="M25" s="47"/>
      <c r="N25" s="194"/>
      <c r="O25" s="194"/>
      <c r="P25" s="194">
        <v>16</v>
      </c>
      <c r="Q25" s="194"/>
      <c r="R25" s="47"/>
      <c r="S25" s="194"/>
      <c r="T25" s="47"/>
      <c r="U25" s="194"/>
      <c r="V25" s="47"/>
      <c r="W25" s="194"/>
      <c r="X25" s="47"/>
      <c r="Y25" s="194"/>
      <c r="Z25" s="194"/>
      <c r="AA25" s="47">
        <v>16</v>
      </c>
      <c r="AB25" s="47"/>
      <c r="AC25" s="47"/>
      <c r="AD25" s="47"/>
      <c r="AE25" s="194"/>
      <c r="AF25" s="194">
        <v>15</v>
      </c>
      <c r="AG25" s="194"/>
      <c r="AH25" s="1">
        <v>15</v>
      </c>
      <c r="AI25" s="47"/>
      <c r="AJ25" s="198"/>
      <c r="AK25" s="47"/>
      <c r="AL25" s="47"/>
      <c r="AM25" s="47"/>
      <c r="AN25" s="47"/>
      <c r="AO25" s="47"/>
      <c r="AP25" s="194"/>
      <c r="AQ25" s="47"/>
      <c r="AR25" s="47"/>
      <c r="AS25" s="47"/>
      <c r="AT25" s="194">
        <v>15</v>
      </c>
      <c r="AU25" s="194"/>
      <c r="AV25" s="194"/>
      <c r="AW25" s="194"/>
      <c r="AX25" s="194">
        <v>15</v>
      </c>
      <c r="AY25" s="194">
        <v>15</v>
      </c>
      <c r="AZ25" s="194"/>
      <c r="BA25" s="194">
        <v>16</v>
      </c>
      <c r="BB25" s="194"/>
      <c r="BC25" s="194"/>
      <c r="BD25" s="194"/>
      <c r="BE25" s="194"/>
      <c r="BF25" s="194"/>
      <c r="BG25" s="194"/>
      <c r="BH25" s="194">
        <v>15</v>
      </c>
      <c r="BI25" s="194">
        <v>15</v>
      </c>
      <c r="BJ25" s="194"/>
      <c r="BK25" s="194"/>
      <c r="BL25" s="194"/>
      <c r="BM25" s="194"/>
      <c r="BN25" s="194">
        <v>15</v>
      </c>
      <c r="BO25" s="194"/>
      <c r="BP25" s="194"/>
      <c r="BQ25" s="47">
        <v>15</v>
      </c>
      <c r="BR25" s="194"/>
      <c r="BS25" s="47"/>
      <c r="BT25" s="47">
        <v>15</v>
      </c>
      <c r="BU25" s="47">
        <v>15</v>
      </c>
      <c r="BV25" s="47"/>
      <c r="BW25" s="47"/>
      <c r="BX25" s="194">
        <v>15</v>
      </c>
      <c r="BY25" s="194">
        <v>15</v>
      </c>
      <c r="BZ25" s="194"/>
      <c r="CA25" s="194"/>
      <c r="CB25" s="194"/>
      <c r="CC25" s="47"/>
      <c r="CD25" s="47"/>
      <c r="CE25" s="47"/>
      <c r="CF25" s="47"/>
      <c r="CG25" s="47"/>
      <c r="CH25" s="47"/>
      <c r="CI25" s="47"/>
      <c r="CJ25" s="47"/>
      <c r="CK25" s="47"/>
      <c r="CL25" s="194">
        <v>15</v>
      </c>
      <c r="CM25" s="47"/>
      <c r="CN25" s="47"/>
      <c r="CO25" s="47"/>
      <c r="CP25" s="47"/>
      <c r="CQ25" s="47"/>
      <c r="CR25" s="47">
        <v>15</v>
      </c>
      <c r="CS25" s="198">
        <v>15</v>
      </c>
      <c r="CT25" s="47"/>
      <c r="CU25" s="47"/>
      <c r="CV25" s="47"/>
      <c r="CW25" s="47"/>
      <c r="CX25" s="194"/>
      <c r="CY25" s="47"/>
      <c r="CZ25" s="47"/>
      <c r="DA25" s="47"/>
      <c r="DB25" s="47"/>
      <c r="DC25" s="47"/>
      <c r="DD25" s="47"/>
      <c r="DE25" s="47"/>
      <c r="DF25" s="47"/>
      <c r="DG25" s="47"/>
      <c r="DH25" s="47"/>
      <c r="DI25" s="47"/>
      <c r="DJ25" s="47"/>
      <c r="DK25" s="47">
        <v>15</v>
      </c>
      <c r="DL25" s="47"/>
      <c r="DM25" s="47"/>
      <c r="DN25" s="47"/>
      <c r="DO25" s="47">
        <v>15</v>
      </c>
      <c r="DP25" s="47"/>
      <c r="DQ25" s="47">
        <v>15</v>
      </c>
      <c r="DR25" s="47"/>
      <c r="DS25" s="47"/>
      <c r="DT25" s="47">
        <v>14</v>
      </c>
      <c r="DU25" s="47"/>
      <c r="DV25" s="47">
        <v>14</v>
      </c>
      <c r="DW25" s="198"/>
      <c r="DX25" s="47"/>
      <c r="DY25" s="194"/>
      <c r="DZ25" s="198"/>
      <c r="EA25" s="47"/>
      <c r="EB25" s="194"/>
      <c r="EC25" s="47"/>
      <c r="ED25" s="195"/>
      <c r="EE25" s="195"/>
      <c r="EF25" s="195"/>
      <c r="EG25" s="195"/>
      <c r="EH25" s="195">
        <v>12</v>
      </c>
      <c r="EI25" s="196">
        <f t="shared" si="2"/>
        <v>106.68</v>
      </c>
      <c r="EJ25" s="201">
        <f t="shared" si="3"/>
        <v>11.2903</v>
      </c>
      <c r="EK25" s="202">
        <v>12</v>
      </c>
      <c r="FA25" s="251">
        <f t="shared" si="4"/>
        <v>8.89</v>
      </c>
    </row>
    <row r="26" spans="1:157" s="1" customFormat="1" ht="20.149999999999999" customHeight="1" x14ac:dyDescent="0.35">
      <c r="A26" s="47"/>
      <c r="B26" s="47" t="s">
        <v>834</v>
      </c>
      <c r="C26" s="47" t="s">
        <v>1531</v>
      </c>
      <c r="D26" s="252" t="s">
        <v>638</v>
      </c>
      <c r="E26" s="40" t="s">
        <v>59</v>
      </c>
      <c r="F26" s="2" t="s">
        <v>1530</v>
      </c>
      <c r="G26" s="2" t="s">
        <v>88</v>
      </c>
      <c r="H26" s="328">
        <v>10.119999999999999</v>
      </c>
      <c r="I26" s="47"/>
      <c r="J26" s="47"/>
      <c r="K26" s="47"/>
      <c r="L26" s="47"/>
      <c r="M26" s="47"/>
      <c r="N26" s="194"/>
      <c r="O26" s="194"/>
      <c r="P26" s="194"/>
      <c r="Q26" s="194"/>
      <c r="R26" s="47"/>
      <c r="S26" s="194"/>
      <c r="T26" s="47"/>
      <c r="U26" s="194"/>
      <c r="V26" s="47"/>
      <c r="W26" s="194"/>
      <c r="X26" s="47"/>
      <c r="Y26" s="194"/>
      <c r="Z26" s="194"/>
      <c r="AA26" s="47"/>
      <c r="AB26" s="47"/>
      <c r="AC26" s="47"/>
      <c r="AD26" s="47"/>
      <c r="AE26" s="194"/>
      <c r="AF26" s="194"/>
      <c r="AG26" s="194"/>
      <c r="AI26" s="47"/>
      <c r="AJ26" s="198"/>
      <c r="AK26" s="47"/>
      <c r="AL26" s="47"/>
      <c r="AM26" s="47"/>
      <c r="AN26" s="47"/>
      <c r="AO26" s="47"/>
      <c r="AP26" s="194"/>
      <c r="AQ26" s="47"/>
      <c r="AR26" s="47"/>
      <c r="AS26" s="47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47"/>
      <c r="BR26" s="194"/>
      <c r="BS26" s="47"/>
      <c r="BT26" s="47"/>
      <c r="BU26" s="47"/>
      <c r="BV26" s="47"/>
      <c r="BW26" s="47"/>
      <c r="BX26" s="194"/>
      <c r="BY26" s="194"/>
      <c r="BZ26" s="194"/>
      <c r="CA26" s="194"/>
      <c r="CB26" s="194"/>
      <c r="CC26" s="47"/>
      <c r="CD26" s="47"/>
      <c r="CE26" s="47"/>
      <c r="CF26" s="47"/>
      <c r="CG26" s="47"/>
      <c r="CH26" s="47"/>
      <c r="CI26" s="47"/>
      <c r="CJ26" s="47"/>
      <c r="CK26" s="47"/>
      <c r="CL26" s="194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194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>
        <f>144/6</f>
        <v>24</v>
      </c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198"/>
      <c r="DX26" s="47"/>
      <c r="DY26" s="194"/>
      <c r="DZ26" s="198"/>
      <c r="EA26" s="47"/>
      <c r="EB26" s="194"/>
      <c r="EC26" s="47"/>
      <c r="ED26" s="195"/>
      <c r="EE26" s="195"/>
      <c r="EF26" s="195"/>
      <c r="EG26" s="195"/>
      <c r="EH26" s="195">
        <v>18</v>
      </c>
      <c r="EI26" s="196">
        <f t="shared" si="2"/>
        <v>182.16</v>
      </c>
      <c r="EJ26" s="201">
        <f t="shared" si="3"/>
        <v>12.852399999999999</v>
      </c>
      <c r="EK26" s="202">
        <f>AVERAGE(I26:EC26)</f>
        <v>24</v>
      </c>
      <c r="FA26" s="251">
        <f t="shared" si="4"/>
        <v>10.119999999999999</v>
      </c>
    </row>
    <row r="27" spans="1:157" s="1" customFormat="1" ht="20.149999999999999" customHeight="1" x14ac:dyDescent="0.35">
      <c r="A27" s="47"/>
      <c r="B27" s="47" t="s">
        <v>835</v>
      </c>
      <c r="C27" s="47" t="s">
        <v>191</v>
      </c>
      <c r="D27" s="252" t="s">
        <v>637</v>
      </c>
      <c r="E27" s="2" t="s">
        <v>59</v>
      </c>
      <c r="F27" s="2" t="s">
        <v>1523</v>
      </c>
      <c r="G27" s="2" t="s">
        <v>302</v>
      </c>
      <c r="H27" s="328">
        <f>18/20</f>
        <v>0.9</v>
      </c>
      <c r="I27" s="47"/>
      <c r="J27" s="47">
        <v>11</v>
      </c>
      <c r="K27" s="47"/>
      <c r="L27" s="47"/>
      <c r="M27" s="47">
        <v>10</v>
      </c>
      <c r="N27" s="194"/>
      <c r="O27" s="194"/>
      <c r="P27" s="194"/>
      <c r="Q27" s="194"/>
      <c r="R27" s="47"/>
      <c r="S27" s="194"/>
      <c r="T27" s="47"/>
      <c r="U27" s="194"/>
      <c r="V27" s="47"/>
      <c r="W27" s="194"/>
      <c r="X27" s="47"/>
      <c r="Y27" s="194"/>
      <c r="Z27" s="194"/>
      <c r="AA27" s="47"/>
      <c r="AB27" s="47">
        <v>10</v>
      </c>
      <c r="AC27" s="47"/>
      <c r="AD27" s="47"/>
      <c r="AE27" s="194"/>
      <c r="AF27" s="194"/>
      <c r="AG27" s="194"/>
      <c r="AI27" s="47"/>
      <c r="AJ27" s="223"/>
      <c r="AK27" s="47"/>
      <c r="AL27" s="47"/>
      <c r="AM27" s="47"/>
      <c r="AN27" s="47"/>
      <c r="AO27" s="47"/>
      <c r="AP27" s="194"/>
      <c r="AQ27" s="47"/>
      <c r="AR27" s="47"/>
      <c r="AS27" s="47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>
        <v>7</v>
      </c>
      <c r="BO27" s="194"/>
      <c r="BP27" s="194"/>
      <c r="BQ27" s="47"/>
      <c r="BR27" s="194"/>
      <c r="BS27" s="47"/>
      <c r="BT27" s="47"/>
      <c r="BU27" s="47"/>
      <c r="BV27" s="47"/>
      <c r="BW27" s="47">
        <v>5</v>
      </c>
      <c r="BX27" s="194">
        <v>10</v>
      </c>
      <c r="BY27" s="194"/>
      <c r="BZ27" s="194"/>
      <c r="CA27" s="194"/>
      <c r="CB27" s="194"/>
      <c r="CC27" s="47"/>
      <c r="CD27" s="47">
        <v>5</v>
      </c>
      <c r="CE27" s="47"/>
      <c r="CF27" s="47"/>
      <c r="CG27" s="47"/>
      <c r="CH27" s="47"/>
      <c r="CI27" s="47"/>
      <c r="CJ27" s="47"/>
      <c r="CK27" s="224"/>
      <c r="CL27" s="194"/>
      <c r="CM27" s="47"/>
      <c r="CN27" s="47"/>
      <c r="CO27" s="47"/>
      <c r="CP27" s="47"/>
      <c r="CQ27" s="47"/>
      <c r="CR27" s="47"/>
      <c r="CS27" s="198">
        <v>5</v>
      </c>
      <c r="CT27" s="47"/>
      <c r="CU27" s="47"/>
      <c r="CV27" s="47"/>
      <c r="CW27" s="47"/>
      <c r="CX27" s="194"/>
      <c r="CY27" s="47"/>
      <c r="CZ27" s="47"/>
      <c r="DA27" s="47"/>
      <c r="DB27" s="47">
        <v>5</v>
      </c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>
        <v>5</v>
      </c>
      <c r="DO27" s="47"/>
      <c r="DP27" s="47"/>
      <c r="DQ27" s="47"/>
      <c r="DR27" s="47"/>
      <c r="DS27" s="47"/>
      <c r="DT27" s="47"/>
      <c r="DU27" s="47"/>
      <c r="DV27" s="47"/>
      <c r="DW27" s="198"/>
      <c r="DX27" s="47"/>
      <c r="DY27" s="194"/>
      <c r="DZ27" s="198"/>
      <c r="EA27" s="47"/>
      <c r="EB27" s="194"/>
      <c r="EC27" s="47"/>
      <c r="ED27" s="195"/>
      <c r="EE27" s="195"/>
      <c r="EF27" s="195"/>
      <c r="EG27" s="195"/>
      <c r="EH27" s="195">
        <v>60</v>
      </c>
      <c r="EI27" s="196">
        <f t="shared" si="2"/>
        <v>54</v>
      </c>
      <c r="EJ27" s="201">
        <f t="shared" si="3"/>
        <v>1.143</v>
      </c>
      <c r="EK27" s="202">
        <f>AVERAGE(I27:EC27)</f>
        <v>7.3</v>
      </c>
      <c r="FA27" s="251">
        <f t="shared" si="4"/>
        <v>0.9</v>
      </c>
    </row>
    <row r="28" spans="1:157" s="1" customFormat="1" ht="20.149999999999999" customHeight="1" x14ac:dyDescent="0.35">
      <c r="A28" s="47"/>
      <c r="B28" s="47" t="s">
        <v>836</v>
      </c>
      <c r="C28" s="47" t="s">
        <v>1532</v>
      </c>
      <c r="D28" s="2" t="s">
        <v>638</v>
      </c>
      <c r="E28" s="2" t="s">
        <v>745</v>
      </c>
      <c r="F28" s="2" t="s">
        <v>1533</v>
      </c>
      <c r="G28" s="2" t="s">
        <v>37</v>
      </c>
      <c r="H28" s="57">
        <v>1.92</v>
      </c>
      <c r="I28" s="47"/>
      <c r="J28" s="47"/>
      <c r="K28" s="47"/>
      <c r="L28" s="47"/>
      <c r="M28" s="47"/>
      <c r="N28" s="194"/>
      <c r="O28" s="194"/>
      <c r="P28" s="194"/>
      <c r="Q28" s="194"/>
      <c r="R28" s="47"/>
      <c r="S28" s="194"/>
      <c r="T28" s="47"/>
      <c r="U28" s="194"/>
      <c r="V28" s="47"/>
      <c r="W28" s="194"/>
      <c r="X28" s="47">
        <v>2.5</v>
      </c>
      <c r="Y28" s="194"/>
      <c r="Z28" s="194"/>
      <c r="AA28" s="47"/>
      <c r="AB28" s="47"/>
      <c r="AC28" s="47"/>
      <c r="AD28" s="47"/>
      <c r="AE28" s="194"/>
      <c r="AF28" s="194"/>
      <c r="AG28" s="194"/>
      <c r="AI28" s="47"/>
      <c r="AJ28" s="223"/>
      <c r="AK28" s="47"/>
      <c r="AL28" s="47"/>
      <c r="AM28" s="47"/>
      <c r="AN28" s="47"/>
      <c r="AO28" s="47"/>
      <c r="AP28" s="194"/>
      <c r="AQ28" s="47"/>
      <c r="AR28" s="47"/>
      <c r="AS28" s="47"/>
      <c r="AT28" s="194"/>
      <c r="AU28" s="194"/>
      <c r="AV28" s="194"/>
      <c r="AW28" s="194"/>
      <c r="AX28" s="194"/>
      <c r="AY28" s="198">
        <v>2.4500000000000002</v>
      </c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47"/>
      <c r="BR28" s="194"/>
      <c r="BS28" s="47"/>
      <c r="BT28" s="47"/>
      <c r="BU28" s="47"/>
      <c r="BV28" s="47"/>
      <c r="BW28" s="47"/>
      <c r="BX28" s="194"/>
      <c r="BY28" s="194"/>
      <c r="BZ28" s="194"/>
      <c r="CA28" s="194"/>
      <c r="CB28" s="194"/>
      <c r="CC28" s="47"/>
      <c r="CD28" s="47"/>
      <c r="CE28" s="47"/>
      <c r="CF28" s="47"/>
      <c r="CG28" s="47"/>
      <c r="CH28" s="47"/>
      <c r="CI28" s="47"/>
      <c r="CJ28" s="47"/>
      <c r="CK28" s="224"/>
      <c r="CL28" s="194">
        <v>2.5</v>
      </c>
      <c r="CM28" s="47"/>
      <c r="CN28" s="47"/>
      <c r="CO28" s="47"/>
      <c r="CP28" s="198">
        <v>2.5</v>
      </c>
      <c r="CQ28" s="47"/>
      <c r="CR28" s="47"/>
      <c r="CS28" s="198"/>
      <c r="CT28" s="47"/>
      <c r="CU28" s="47"/>
      <c r="CV28" s="47"/>
      <c r="CW28" s="47"/>
      <c r="CX28" s="194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>
        <v>2.2000000000000002</v>
      </c>
      <c r="DV28" s="47"/>
      <c r="DW28" s="198">
        <v>2.2000000000000002</v>
      </c>
      <c r="DX28" s="47"/>
      <c r="DY28" s="194"/>
      <c r="DZ28" s="198"/>
      <c r="EA28" s="47"/>
      <c r="EB28" s="194"/>
      <c r="EC28" s="47"/>
      <c r="ED28" s="195"/>
      <c r="EE28" s="195"/>
      <c r="EF28" s="195"/>
      <c r="EG28" s="195"/>
      <c r="EH28" s="195"/>
      <c r="EI28" s="196">
        <f t="shared" si="2"/>
        <v>0</v>
      </c>
      <c r="EJ28" s="201">
        <f t="shared" si="3"/>
        <v>2.4384000000000001</v>
      </c>
      <c r="EK28" s="202">
        <f>AVERAGE(I28:EC28)</f>
        <v>2.3916666666666662</v>
      </c>
      <c r="FA28" s="251">
        <f t="shared" si="4"/>
        <v>1.92</v>
      </c>
    </row>
    <row r="29" spans="1:157" s="1" customFormat="1" ht="20.149999999999999" customHeight="1" x14ac:dyDescent="0.35">
      <c r="A29" s="47"/>
      <c r="B29" s="47" t="s">
        <v>837</v>
      </c>
      <c r="C29" s="47" t="s">
        <v>1534</v>
      </c>
      <c r="D29" s="2" t="s">
        <v>638</v>
      </c>
      <c r="E29" s="2" t="s">
        <v>745</v>
      </c>
      <c r="F29" s="2" t="s">
        <v>1533</v>
      </c>
      <c r="G29" s="2" t="s">
        <v>37</v>
      </c>
      <c r="H29" s="57">
        <v>1.92</v>
      </c>
      <c r="I29" s="47"/>
      <c r="J29" s="47"/>
      <c r="K29" s="47"/>
      <c r="L29" s="47"/>
      <c r="M29" s="47"/>
      <c r="N29" s="194"/>
      <c r="O29" s="194"/>
      <c r="P29" s="194"/>
      <c r="Q29" s="194"/>
      <c r="R29" s="47"/>
      <c r="S29" s="194"/>
      <c r="T29" s="47"/>
      <c r="U29" s="194"/>
      <c r="V29" s="47"/>
      <c r="W29" s="194"/>
      <c r="X29" s="47">
        <v>2.5</v>
      </c>
      <c r="Y29" s="194"/>
      <c r="Z29" s="194"/>
      <c r="AA29" s="47"/>
      <c r="AB29" s="47"/>
      <c r="AC29" s="47"/>
      <c r="AD29" s="47"/>
      <c r="AE29" s="194"/>
      <c r="AF29" s="194"/>
      <c r="AG29" s="194"/>
      <c r="AI29" s="47"/>
      <c r="AJ29" s="223"/>
      <c r="AK29" s="47"/>
      <c r="AL29" s="47"/>
      <c r="AM29" s="47"/>
      <c r="AN29" s="47"/>
      <c r="AO29" s="47"/>
      <c r="AP29" s="194"/>
      <c r="AQ29" s="47"/>
      <c r="AR29" s="47"/>
      <c r="AS29" s="47"/>
      <c r="AT29" s="194"/>
      <c r="AU29" s="194"/>
      <c r="AV29" s="194"/>
      <c r="AW29" s="194"/>
      <c r="AX29" s="194"/>
      <c r="AY29" s="198">
        <v>2.4500000000000002</v>
      </c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47"/>
      <c r="BR29" s="194"/>
      <c r="BS29" s="47"/>
      <c r="BT29" s="47"/>
      <c r="BU29" s="47"/>
      <c r="BV29" s="47"/>
      <c r="BW29" s="47"/>
      <c r="BX29" s="194">
        <v>2.5</v>
      </c>
      <c r="BY29" s="194"/>
      <c r="BZ29" s="194"/>
      <c r="CA29" s="194"/>
      <c r="CB29" s="194"/>
      <c r="CC29" s="47"/>
      <c r="CD29" s="47"/>
      <c r="CE29" s="47"/>
      <c r="CF29" s="47"/>
      <c r="CG29" s="47"/>
      <c r="CH29" s="47"/>
      <c r="CI29" s="47"/>
      <c r="CJ29" s="47"/>
      <c r="CK29" s="224"/>
      <c r="CL29" s="194">
        <v>2.5</v>
      </c>
      <c r="CM29" s="47"/>
      <c r="CN29" s="47"/>
      <c r="CO29" s="47"/>
      <c r="CP29" s="198">
        <v>2.5</v>
      </c>
      <c r="CQ29" s="47"/>
      <c r="CR29" s="47"/>
      <c r="CS29" s="198"/>
      <c r="CT29" s="47"/>
      <c r="CU29" s="47"/>
      <c r="CV29" s="47"/>
      <c r="CW29" s="47"/>
      <c r="CX29" s="194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>
        <v>2.2000000000000002</v>
      </c>
      <c r="DV29" s="47"/>
      <c r="DW29" s="198">
        <v>2.2000000000000002</v>
      </c>
      <c r="DX29" s="47"/>
      <c r="DY29" s="194"/>
      <c r="DZ29" s="198"/>
      <c r="EA29" s="47"/>
      <c r="EB29" s="194"/>
      <c r="EC29" s="47"/>
      <c r="ED29" s="195"/>
      <c r="EE29" s="195"/>
      <c r="EF29" s="195"/>
      <c r="EG29" s="195"/>
      <c r="EH29" s="195"/>
      <c r="EI29" s="196">
        <f t="shared" si="2"/>
        <v>0</v>
      </c>
      <c r="EJ29" s="201">
        <f t="shared" si="3"/>
        <v>2.4384000000000001</v>
      </c>
      <c r="EK29" s="202">
        <f>AVERAGE(I29:EC29)</f>
        <v>2.407142857142857</v>
      </c>
      <c r="FA29" s="251">
        <f t="shared" si="4"/>
        <v>1.92</v>
      </c>
    </row>
    <row r="30" spans="1:157" s="1" customFormat="1" ht="20.149999999999999" customHeight="1" x14ac:dyDescent="0.35">
      <c r="A30" s="47"/>
      <c r="B30" s="47" t="s">
        <v>838</v>
      </c>
      <c r="C30" s="47" t="s">
        <v>747</v>
      </c>
      <c r="D30" s="2" t="s">
        <v>638</v>
      </c>
      <c r="E30" s="2" t="s">
        <v>745</v>
      </c>
      <c r="F30" s="2" t="s">
        <v>1533</v>
      </c>
      <c r="G30" s="2" t="s">
        <v>37</v>
      </c>
      <c r="H30" s="57"/>
      <c r="I30" s="47"/>
      <c r="J30" s="47"/>
      <c r="K30" s="47"/>
      <c r="L30" s="47"/>
      <c r="M30" s="47"/>
      <c r="N30" s="194"/>
      <c r="O30" s="194"/>
      <c r="P30" s="194"/>
      <c r="Q30" s="194"/>
      <c r="R30" s="47"/>
      <c r="S30" s="194"/>
      <c r="T30" s="47"/>
      <c r="U30" s="194"/>
      <c r="V30" s="47"/>
      <c r="W30" s="194"/>
      <c r="X30" s="47">
        <v>2.5</v>
      </c>
      <c r="Y30" s="194"/>
      <c r="Z30" s="194"/>
      <c r="AA30" s="47"/>
      <c r="AB30" s="47"/>
      <c r="AC30" s="47"/>
      <c r="AD30" s="47"/>
      <c r="AE30" s="194"/>
      <c r="AF30" s="194"/>
      <c r="AG30" s="194"/>
      <c r="AI30" s="47"/>
      <c r="AJ30" s="223"/>
      <c r="AK30" s="47"/>
      <c r="AL30" s="47"/>
      <c r="AM30" s="47"/>
      <c r="AN30" s="47"/>
      <c r="AO30" s="47"/>
      <c r="AP30" s="194"/>
      <c r="AQ30" s="47"/>
      <c r="AR30" s="47"/>
      <c r="AS30" s="47"/>
      <c r="AT30" s="194"/>
      <c r="AU30" s="194"/>
      <c r="AV30" s="194"/>
      <c r="AW30" s="194"/>
      <c r="AX30" s="194"/>
      <c r="AY30" s="194">
        <v>2.5</v>
      </c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47"/>
      <c r="BR30" s="194"/>
      <c r="BS30" s="47"/>
      <c r="BT30" s="47"/>
      <c r="BU30" s="47"/>
      <c r="BV30" s="47"/>
      <c r="BW30" s="47"/>
      <c r="BX30" s="194"/>
      <c r="BY30" s="194"/>
      <c r="BZ30" s="194"/>
      <c r="CA30" s="194"/>
      <c r="CB30" s="194"/>
      <c r="CC30" s="47"/>
      <c r="CD30" s="47"/>
      <c r="CE30" s="47"/>
      <c r="CF30" s="47"/>
      <c r="CG30" s="47"/>
      <c r="CH30" s="47"/>
      <c r="CI30" s="47"/>
      <c r="CJ30" s="47"/>
      <c r="CK30" s="224"/>
      <c r="CL30" s="194"/>
      <c r="CM30" s="47"/>
      <c r="CN30" s="47"/>
      <c r="CO30" s="47"/>
      <c r="CP30" s="198">
        <v>2.5</v>
      </c>
      <c r="CQ30" s="47"/>
      <c r="CR30" s="47"/>
      <c r="CS30" s="198">
        <v>45</v>
      </c>
      <c r="CT30" s="47"/>
      <c r="CU30" s="47"/>
      <c r="CV30" s="47"/>
      <c r="CW30" s="47"/>
      <c r="CX30" s="194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>
        <v>2.2000000000000002</v>
      </c>
      <c r="DV30" s="47"/>
      <c r="DW30" s="198">
        <v>2.2000000000000002</v>
      </c>
      <c r="DX30" s="47"/>
      <c r="DY30" s="194"/>
      <c r="DZ30" s="198"/>
      <c r="EA30" s="47"/>
      <c r="EB30" s="194"/>
      <c r="EC30" s="47"/>
      <c r="ED30" s="195"/>
      <c r="EE30" s="195"/>
      <c r="EF30" s="195"/>
      <c r="EG30" s="195"/>
      <c r="EH30" s="195"/>
      <c r="EI30" s="196">
        <f t="shared" si="2"/>
        <v>0</v>
      </c>
      <c r="EJ30" s="201">
        <f t="shared" si="3"/>
        <v>0</v>
      </c>
      <c r="EK30" s="202">
        <f>AVERAGE(I30:EC30)</f>
        <v>9.4833333333333343</v>
      </c>
      <c r="FA30" s="251">
        <f t="shared" si="4"/>
        <v>0</v>
      </c>
    </row>
    <row r="31" spans="1:157" s="1" customFormat="1" ht="20.149999999999999" customHeight="1" x14ac:dyDescent="0.35">
      <c r="A31" s="137"/>
      <c r="B31" s="47" t="s">
        <v>839</v>
      </c>
      <c r="C31" s="47" t="s">
        <v>615</v>
      </c>
      <c r="D31" s="2" t="s">
        <v>56</v>
      </c>
      <c r="E31" s="376" t="s">
        <v>33</v>
      </c>
      <c r="F31" s="2" t="s">
        <v>1616</v>
      </c>
      <c r="G31" s="2" t="s">
        <v>37</v>
      </c>
      <c r="H31" s="328">
        <v>0.4</v>
      </c>
      <c r="I31" s="197"/>
      <c r="J31" s="197"/>
      <c r="K31" s="197"/>
      <c r="L31" s="197"/>
      <c r="M31" s="197"/>
      <c r="N31" s="194"/>
      <c r="O31" s="197"/>
      <c r="P31" s="197"/>
      <c r="Q31" s="197"/>
      <c r="R31" s="197"/>
      <c r="S31" s="197"/>
      <c r="T31" s="197"/>
      <c r="U31" s="197"/>
      <c r="V31" s="168"/>
      <c r="W31" s="197"/>
      <c r="X31" s="197"/>
      <c r="Y31" s="197"/>
      <c r="Z31" s="197"/>
      <c r="AA31" s="197"/>
      <c r="AB31" s="197"/>
      <c r="AC31" s="197"/>
      <c r="AD31" s="197"/>
      <c r="AE31" s="197"/>
      <c r="AF31" s="194">
        <v>0.7</v>
      </c>
      <c r="AG31" s="194"/>
      <c r="AI31" s="194"/>
      <c r="AJ31" s="194"/>
      <c r="AK31" s="47"/>
      <c r="AL31" s="47"/>
      <c r="AM31" s="47"/>
      <c r="AN31" s="47"/>
      <c r="AO31" s="47"/>
      <c r="AP31" s="197"/>
      <c r="AQ31" s="197"/>
      <c r="AR31" s="197"/>
      <c r="AS31" s="197"/>
      <c r="AT31" s="197"/>
      <c r="AU31" s="197"/>
      <c r="AV31" s="197"/>
      <c r="AW31" s="197"/>
      <c r="AX31" s="197"/>
      <c r="AY31" s="197"/>
      <c r="AZ31" s="197"/>
      <c r="BA31" s="197"/>
      <c r="BB31" s="197"/>
      <c r="BC31" s="197"/>
      <c r="BD31" s="47"/>
      <c r="BE31" s="47"/>
      <c r="BF31" s="47"/>
      <c r="BG31" s="47"/>
      <c r="BH31" s="47"/>
      <c r="BI31" s="47">
        <v>0.7</v>
      </c>
      <c r="BJ31" s="47"/>
      <c r="BK31" s="47"/>
      <c r="BL31" s="47"/>
      <c r="BM31" s="47"/>
      <c r="BN31" s="47"/>
      <c r="BO31" s="47">
        <v>0.7</v>
      </c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>
        <v>0.7</v>
      </c>
      <c r="DU31" s="47"/>
      <c r="DV31" s="47"/>
      <c r="DW31" s="198">
        <v>1</v>
      </c>
      <c r="DX31" s="47"/>
      <c r="DY31" s="47"/>
      <c r="DZ31" s="198"/>
      <c r="EA31" s="47"/>
      <c r="EB31" s="47"/>
      <c r="EC31" s="47"/>
      <c r="ED31" s="195"/>
      <c r="EE31" s="195"/>
      <c r="EF31" s="195"/>
      <c r="EG31" s="195"/>
      <c r="EH31" s="195"/>
      <c r="EI31" s="196">
        <f t="shared" si="2"/>
        <v>0</v>
      </c>
      <c r="EJ31" s="201">
        <f t="shared" si="3"/>
        <v>0.50800000000000001</v>
      </c>
      <c r="EK31" s="202">
        <v>0.7</v>
      </c>
      <c r="FA31" s="251">
        <f t="shared" si="4"/>
        <v>0.4</v>
      </c>
    </row>
    <row r="32" spans="1:157" s="1" customFormat="1" ht="20.149999999999999" customHeight="1" x14ac:dyDescent="0.35">
      <c r="A32" s="137"/>
      <c r="B32" s="47" t="s">
        <v>840</v>
      </c>
      <c r="C32" s="47" t="s">
        <v>616</v>
      </c>
      <c r="D32" s="2" t="s">
        <v>56</v>
      </c>
      <c r="E32" s="376" t="s">
        <v>33</v>
      </c>
      <c r="F32" s="2" t="s">
        <v>1617</v>
      </c>
      <c r="G32" s="2" t="s">
        <v>37</v>
      </c>
      <c r="H32" s="328">
        <v>0.4</v>
      </c>
      <c r="I32" s="197"/>
      <c r="J32" s="197"/>
      <c r="K32" s="197"/>
      <c r="L32" s="197"/>
      <c r="M32" s="197"/>
      <c r="N32" s="194"/>
      <c r="O32" s="197"/>
      <c r="P32" s="197"/>
      <c r="Q32" s="197"/>
      <c r="R32" s="197">
        <v>0.7</v>
      </c>
      <c r="S32" s="197"/>
      <c r="T32" s="197"/>
      <c r="U32" s="197"/>
      <c r="V32" s="168"/>
      <c r="W32" s="197"/>
      <c r="X32" s="197"/>
      <c r="Y32" s="197"/>
      <c r="Z32" s="197"/>
      <c r="AA32" s="197"/>
      <c r="AB32" s="197"/>
      <c r="AC32" s="197"/>
      <c r="AD32" s="197"/>
      <c r="AE32" s="197"/>
      <c r="AF32" s="194">
        <v>0.7</v>
      </c>
      <c r="AG32" s="194"/>
      <c r="AI32" s="194"/>
      <c r="AJ32" s="194"/>
      <c r="AK32" s="47"/>
      <c r="AL32" s="47"/>
      <c r="AM32" s="47"/>
      <c r="AN32" s="47"/>
      <c r="AO32" s="47"/>
      <c r="AP32" s="197"/>
      <c r="AQ32" s="197"/>
      <c r="AR32" s="197"/>
      <c r="AS32" s="197"/>
      <c r="AT32" s="197"/>
      <c r="AU32" s="197"/>
      <c r="AV32" s="197"/>
      <c r="AW32" s="197"/>
      <c r="AX32" s="197"/>
      <c r="AY32" s="197"/>
      <c r="AZ32" s="197"/>
      <c r="BA32" s="197"/>
      <c r="BB32" s="197"/>
      <c r="BC32" s="197"/>
      <c r="BD32" s="47"/>
      <c r="BE32" s="47"/>
      <c r="BF32" s="47"/>
      <c r="BG32" s="47"/>
      <c r="BH32" s="47"/>
      <c r="BI32" s="47">
        <v>0.7</v>
      </c>
      <c r="BJ32" s="47"/>
      <c r="BK32" s="47"/>
      <c r="BL32" s="47"/>
      <c r="BM32" s="47"/>
      <c r="BN32" s="47"/>
      <c r="BO32" s="47">
        <v>0.8</v>
      </c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>
        <v>0.7</v>
      </c>
      <c r="DU32" s="47"/>
      <c r="DV32" s="47"/>
      <c r="DW32" s="198">
        <v>1</v>
      </c>
      <c r="DX32" s="47"/>
      <c r="DY32" s="47"/>
      <c r="DZ32" s="198"/>
      <c r="EA32" s="47"/>
      <c r="EB32" s="47"/>
      <c r="EC32" s="47"/>
      <c r="ED32" s="195"/>
      <c r="EE32" s="195"/>
      <c r="EF32" s="195"/>
      <c r="EG32" s="195"/>
      <c r="EH32" s="195"/>
      <c r="EI32" s="196">
        <f t="shared" si="2"/>
        <v>0</v>
      </c>
      <c r="EJ32" s="201">
        <f t="shared" si="3"/>
        <v>0.50800000000000001</v>
      </c>
      <c r="EK32" s="202">
        <v>0.7</v>
      </c>
      <c r="FA32" s="251">
        <f t="shared" si="4"/>
        <v>0.4</v>
      </c>
    </row>
    <row r="33" spans="1:157" s="1" customFormat="1" ht="20.149999999999999" customHeight="1" x14ac:dyDescent="0.35">
      <c r="A33" s="137"/>
      <c r="B33" s="47" t="s">
        <v>1158</v>
      </c>
      <c r="C33" s="47" t="s">
        <v>616</v>
      </c>
      <c r="D33" s="2" t="s">
        <v>56</v>
      </c>
      <c r="E33" s="376" t="s">
        <v>33</v>
      </c>
      <c r="F33" s="2" t="s">
        <v>1618</v>
      </c>
      <c r="G33" s="2" t="s">
        <v>37</v>
      </c>
      <c r="H33" s="328">
        <v>4</v>
      </c>
      <c r="I33" s="197"/>
      <c r="J33" s="197"/>
      <c r="K33" s="197"/>
      <c r="L33" s="197"/>
      <c r="M33" s="197"/>
      <c r="N33" s="194"/>
      <c r="O33" s="197"/>
      <c r="P33" s="197"/>
      <c r="Q33" s="197"/>
      <c r="R33" s="197"/>
      <c r="S33" s="197"/>
      <c r="T33" s="197"/>
      <c r="U33" s="197"/>
      <c r="V33" s="168"/>
      <c r="W33" s="197"/>
      <c r="X33" s="197"/>
      <c r="Y33" s="197"/>
      <c r="Z33" s="197"/>
      <c r="AA33" s="197"/>
      <c r="AB33" s="197"/>
      <c r="AC33" s="197"/>
      <c r="AD33" s="197"/>
      <c r="AE33" s="197"/>
      <c r="AF33" s="194"/>
      <c r="AG33" s="194"/>
      <c r="AI33" s="194"/>
      <c r="AJ33" s="194"/>
      <c r="AK33" s="47"/>
      <c r="AL33" s="47"/>
      <c r="AM33" s="47"/>
      <c r="AN33" s="47"/>
      <c r="AO33" s="47"/>
      <c r="AP33" s="197"/>
      <c r="AQ33" s="197"/>
      <c r="AR33" s="197"/>
      <c r="AS33" s="197"/>
      <c r="AT33" s="197"/>
      <c r="AU33" s="197"/>
      <c r="AV33" s="197"/>
      <c r="AW33" s="197"/>
      <c r="AX33" s="197"/>
      <c r="AY33" s="197"/>
      <c r="AZ33" s="197"/>
      <c r="BA33" s="197"/>
      <c r="BB33" s="197"/>
      <c r="BC33" s="19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198">
        <v>9</v>
      </c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198"/>
      <c r="DX33" s="47"/>
      <c r="DY33" s="47"/>
      <c r="DZ33" s="198"/>
      <c r="EA33" s="47"/>
      <c r="EB33" s="47"/>
      <c r="EC33" s="47"/>
      <c r="ED33" s="195"/>
      <c r="EE33" s="195"/>
      <c r="EF33" s="195"/>
      <c r="EG33" s="195"/>
      <c r="EH33" s="195"/>
      <c r="EI33" s="196"/>
      <c r="EJ33" s="201"/>
      <c r="EK33" s="202"/>
      <c r="FA33" s="251">
        <f t="shared" si="4"/>
        <v>4</v>
      </c>
    </row>
    <row r="34" spans="1:157" s="1" customFormat="1" ht="20.149999999999999" customHeight="1" x14ac:dyDescent="0.35">
      <c r="A34" s="137"/>
      <c r="B34" s="47" t="s">
        <v>1371</v>
      </c>
      <c r="C34" s="47" t="s">
        <v>1471</v>
      </c>
      <c r="D34" s="2" t="s">
        <v>56</v>
      </c>
      <c r="E34" s="2" t="s">
        <v>33</v>
      </c>
      <c r="F34" s="2" t="s">
        <v>1514</v>
      </c>
      <c r="G34" s="2" t="s">
        <v>30</v>
      </c>
      <c r="H34" s="328">
        <v>4.8</v>
      </c>
      <c r="I34" s="197"/>
      <c r="J34" s="197"/>
      <c r="K34" s="197"/>
      <c r="L34" s="197"/>
      <c r="M34" s="197"/>
      <c r="N34" s="194">
        <v>18</v>
      </c>
      <c r="O34" s="197"/>
      <c r="P34" s="197"/>
      <c r="Q34" s="197"/>
      <c r="R34" s="197"/>
      <c r="S34" s="197"/>
      <c r="T34" s="197"/>
      <c r="U34" s="197"/>
      <c r="V34" s="168"/>
      <c r="W34" s="197"/>
      <c r="X34" s="197"/>
      <c r="Y34" s="197"/>
      <c r="Z34" s="197"/>
      <c r="AA34" s="197"/>
      <c r="AB34" s="197"/>
      <c r="AC34" s="197"/>
      <c r="AD34" s="197"/>
      <c r="AE34" s="197"/>
      <c r="AF34" s="194"/>
      <c r="AG34" s="194"/>
      <c r="AI34" s="194"/>
      <c r="AJ34" s="194"/>
      <c r="AK34" s="47"/>
      <c r="AL34" s="47"/>
      <c r="AM34" s="47"/>
      <c r="AN34" s="47"/>
      <c r="AO34" s="47"/>
      <c r="AP34" s="197"/>
      <c r="AQ34" s="197"/>
      <c r="AR34" s="197"/>
      <c r="AS34" s="197"/>
      <c r="AT34" s="197"/>
      <c r="AU34" s="197"/>
      <c r="AV34" s="197"/>
      <c r="AW34" s="197"/>
      <c r="AX34" s="197"/>
      <c r="AY34" s="197"/>
      <c r="AZ34" s="197"/>
      <c r="BA34" s="197"/>
      <c r="BB34" s="197"/>
      <c r="BC34" s="19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>
        <v>9.5</v>
      </c>
      <c r="CH34" s="47"/>
      <c r="CI34" s="198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>
        <v>10</v>
      </c>
      <c r="DU34" s="47"/>
      <c r="DV34" s="47"/>
      <c r="DW34" s="198"/>
      <c r="DX34" s="47"/>
      <c r="DY34" s="47"/>
      <c r="DZ34" s="198"/>
      <c r="EA34" s="47"/>
      <c r="EB34" s="47"/>
      <c r="EC34" s="47"/>
      <c r="ED34" s="195"/>
      <c r="EE34" s="195"/>
      <c r="EF34" s="195"/>
      <c r="EG34" s="195"/>
      <c r="EH34" s="195"/>
      <c r="EI34" s="196"/>
      <c r="EJ34" s="201"/>
      <c r="EK34" s="202"/>
      <c r="FA34" s="251">
        <f t="shared" si="4"/>
        <v>4.8</v>
      </c>
    </row>
    <row r="35" spans="1:157" s="1" customFormat="1" ht="20.149999999999999" customHeight="1" x14ac:dyDescent="0.35">
      <c r="A35" s="137"/>
      <c r="B35" s="47" t="s">
        <v>841</v>
      </c>
      <c r="C35" s="47" t="s">
        <v>617</v>
      </c>
      <c r="D35" s="2" t="s">
        <v>56</v>
      </c>
      <c r="E35" s="376" t="s">
        <v>33</v>
      </c>
      <c r="F35" s="2" t="s">
        <v>1616</v>
      </c>
      <c r="G35" s="2" t="s">
        <v>37</v>
      </c>
      <c r="H35" s="328">
        <v>0.4</v>
      </c>
      <c r="I35" s="197"/>
      <c r="J35" s="197"/>
      <c r="K35" s="197"/>
      <c r="L35" s="197"/>
      <c r="M35" s="197"/>
      <c r="N35" s="194"/>
      <c r="O35" s="197"/>
      <c r="P35" s="197"/>
      <c r="Q35" s="197"/>
      <c r="R35" s="197">
        <v>0.7</v>
      </c>
      <c r="S35" s="197"/>
      <c r="T35" s="197"/>
      <c r="U35" s="197"/>
      <c r="V35" s="168"/>
      <c r="W35" s="197"/>
      <c r="X35" s="197"/>
      <c r="Y35" s="197"/>
      <c r="Z35" s="197"/>
      <c r="AA35" s="197"/>
      <c r="AB35" s="197"/>
      <c r="AC35" s="197"/>
      <c r="AD35" s="197"/>
      <c r="AE35" s="197"/>
      <c r="AF35" s="194">
        <v>0.7</v>
      </c>
      <c r="AG35" s="194"/>
      <c r="AI35" s="194"/>
      <c r="AJ35" s="194"/>
      <c r="AK35" s="47"/>
      <c r="AL35" s="47"/>
      <c r="AM35" s="47"/>
      <c r="AN35" s="47"/>
      <c r="AO35" s="4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47"/>
      <c r="BE35" s="47"/>
      <c r="BF35" s="47"/>
      <c r="BG35" s="47"/>
      <c r="BH35" s="47"/>
      <c r="BI35" s="47">
        <v>0.8</v>
      </c>
      <c r="BJ35" s="47"/>
      <c r="BK35" s="47"/>
      <c r="BL35" s="47"/>
      <c r="BM35" s="47"/>
      <c r="BN35" s="47"/>
      <c r="BO35" s="47">
        <v>0.7</v>
      </c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198"/>
      <c r="CJ35" s="47"/>
      <c r="CK35" s="47"/>
      <c r="CL35" s="47">
        <v>0.8</v>
      </c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>
        <v>0.8</v>
      </c>
      <c r="DU35" s="47"/>
      <c r="DV35" s="47"/>
      <c r="DW35" s="198">
        <v>1</v>
      </c>
      <c r="DX35" s="47"/>
      <c r="DY35" s="47"/>
      <c r="DZ35" s="198"/>
      <c r="EA35" s="47"/>
      <c r="EB35" s="47"/>
      <c r="EC35" s="47"/>
      <c r="ED35" s="195"/>
      <c r="EE35" s="195"/>
      <c r="EF35" s="195"/>
      <c r="EG35" s="195"/>
      <c r="EH35" s="195"/>
      <c r="EI35" s="196">
        <f t="shared" si="2"/>
        <v>0</v>
      </c>
      <c r="EJ35" s="201">
        <f t="shared" si="3"/>
        <v>0.50800000000000001</v>
      </c>
      <c r="EK35" s="202">
        <v>0.7</v>
      </c>
      <c r="FA35" s="251">
        <f t="shared" si="4"/>
        <v>0.4</v>
      </c>
    </row>
    <row r="36" spans="1:157" s="1" customFormat="1" ht="20.149999999999999" customHeight="1" x14ac:dyDescent="0.35">
      <c r="A36" s="137"/>
      <c r="B36" s="47" t="s">
        <v>1160</v>
      </c>
      <c r="C36" s="47" t="s">
        <v>617</v>
      </c>
      <c r="D36" s="2" t="s">
        <v>56</v>
      </c>
      <c r="E36" s="376" t="s">
        <v>33</v>
      </c>
      <c r="F36" s="2" t="s">
        <v>1618</v>
      </c>
      <c r="G36" s="2" t="s">
        <v>37</v>
      </c>
      <c r="H36" s="328">
        <v>4</v>
      </c>
      <c r="I36" s="197"/>
      <c r="J36" s="197"/>
      <c r="K36" s="197"/>
      <c r="L36" s="197"/>
      <c r="M36" s="197"/>
      <c r="N36" s="194"/>
      <c r="O36" s="197"/>
      <c r="P36" s="197"/>
      <c r="Q36" s="197"/>
      <c r="R36" s="197"/>
      <c r="S36" s="197"/>
      <c r="T36" s="197"/>
      <c r="U36" s="197"/>
      <c r="V36" s="168"/>
      <c r="W36" s="197"/>
      <c r="X36" s="197"/>
      <c r="Y36" s="197"/>
      <c r="Z36" s="197"/>
      <c r="AA36" s="197"/>
      <c r="AB36" s="197"/>
      <c r="AC36" s="197"/>
      <c r="AD36" s="197"/>
      <c r="AE36" s="197"/>
      <c r="AF36" s="194"/>
      <c r="AG36" s="194"/>
      <c r="AI36" s="194"/>
      <c r="AJ36" s="194"/>
      <c r="AK36" s="47"/>
      <c r="AL36" s="47"/>
      <c r="AM36" s="47"/>
      <c r="AN36" s="47"/>
      <c r="AO36" s="47"/>
      <c r="AP36" s="197"/>
      <c r="AQ36" s="197"/>
      <c r="AR36" s="197"/>
      <c r="AS36" s="197"/>
      <c r="AT36" s="197"/>
      <c r="AU36" s="197"/>
      <c r="AV36" s="197"/>
      <c r="AW36" s="197"/>
      <c r="AX36" s="197"/>
      <c r="AY36" s="197"/>
      <c r="AZ36" s="197"/>
      <c r="BA36" s="197"/>
      <c r="BB36" s="197"/>
      <c r="BC36" s="19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198">
        <v>8</v>
      </c>
      <c r="CJ36" s="47"/>
      <c r="CK36" s="47"/>
      <c r="CL36" s="47">
        <v>7</v>
      </c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>
        <v>7</v>
      </c>
      <c r="DU36" s="47"/>
      <c r="DV36" s="47"/>
      <c r="DW36" s="198"/>
      <c r="DX36" s="47"/>
      <c r="DY36" s="47"/>
      <c r="DZ36" s="198"/>
      <c r="EA36" s="47"/>
      <c r="EB36" s="47"/>
      <c r="EC36" s="47"/>
      <c r="ED36" s="195"/>
      <c r="EE36" s="195"/>
      <c r="EF36" s="195"/>
      <c r="EG36" s="195"/>
      <c r="EH36" s="195"/>
      <c r="EI36" s="196"/>
      <c r="EJ36" s="201"/>
      <c r="EK36" s="202"/>
      <c r="FA36" s="251">
        <f t="shared" si="4"/>
        <v>4</v>
      </c>
    </row>
    <row r="37" spans="1:157" s="1" customFormat="1" ht="20.149999999999999" customHeight="1" x14ac:dyDescent="0.35">
      <c r="A37" s="137"/>
      <c r="B37" s="189" t="s">
        <v>842</v>
      </c>
      <c r="C37" s="47" t="s">
        <v>1472</v>
      </c>
      <c r="D37" s="2" t="s">
        <v>638</v>
      </c>
      <c r="E37" s="2" t="s">
        <v>59</v>
      </c>
      <c r="F37" s="2" t="s">
        <v>1619</v>
      </c>
      <c r="G37" s="48" t="s">
        <v>30</v>
      </c>
      <c r="H37" s="328">
        <v>1.46</v>
      </c>
      <c r="I37" s="197"/>
      <c r="J37" s="197"/>
      <c r="K37" s="197"/>
      <c r="L37" s="197"/>
      <c r="M37" s="197"/>
      <c r="N37" s="194"/>
      <c r="O37" s="197"/>
      <c r="P37" s="197"/>
      <c r="Q37" s="197"/>
      <c r="R37" s="197"/>
      <c r="S37" s="197"/>
      <c r="T37" s="197"/>
      <c r="U37" s="197"/>
      <c r="V37" s="168"/>
      <c r="W37" s="197"/>
      <c r="X37" s="197"/>
      <c r="Y37" s="197"/>
      <c r="Z37" s="197"/>
      <c r="AA37" s="197"/>
      <c r="AB37" s="197"/>
      <c r="AC37" s="197"/>
      <c r="AD37" s="197"/>
      <c r="AE37" s="197"/>
      <c r="AF37" s="194"/>
      <c r="AG37" s="194"/>
      <c r="AH37" s="5"/>
      <c r="AI37" s="194"/>
      <c r="AJ37" s="194"/>
      <c r="AK37" s="47"/>
      <c r="AL37" s="47"/>
      <c r="AM37" s="47"/>
      <c r="AN37" s="47"/>
      <c r="AO37" s="47"/>
      <c r="AP37" s="197"/>
      <c r="AQ37" s="197"/>
      <c r="AR37" s="197"/>
      <c r="AS37" s="197"/>
      <c r="AT37" s="197"/>
      <c r="AU37" s="197"/>
      <c r="AV37" s="197"/>
      <c r="AW37" s="197"/>
      <c r="AX37" s="197"/>
      <c r="AY37" s="197"/>
      <c r="AZ37" s="197"/>
      <c r="BA37" s="197"/>
      <c r="BB37" s="197"/>
      <c r="BC37" s="19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198">
        <v>7</v>
      </c>
      <c r="CJ37" s="47"/>
      <c r="CK37" s="47"/>
      <c r="CL37" s="47"/>
      <c r="CM37" s="47"/>
      <c r="CN37" s="47"/>
      <c r="CO37" s="47"/>
      <c r="CP37" s="47">
        <v>7</v>
      </c>
      <c r="CQ37" s="47"/>
      <c r="CR37" s="47"/>
      <c r="CS37" s="47"/>
      <c r="CT37" s="47"/>
      <c r="CU37" s="47"/>
      <c r="CV37" s="47">
        <v>7</v>
      </c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198"/>
      <c r="DX37" s="47"/>
      <c r="DY37" s="47"/>
      <c r="DZ37" s="198"/>
      <c r="EA37" s="47"/>
      <c r="EB37" s="47"/>
      <c r="EC37" s="47"/>
      <c r="ED37" s="195"/>
      <c r="EE37" s="195"/>
      <c r="EF37" s="195"/>
      <c r="EG37" s="195"/>
      <c r="EH37" s="195"/>
      <c r="EI37" s="196">
        <f t="shared" si="2"/>
        <v>0</v>
      </c>
      <c r="EJ37" s="201">
        <f t="shared" si="3"/>
        <v>1.8542000000000001</v>
      </c>
      <c r="EK37" s="202">
        <f>AVERAGE(I37:EC37)</f>
        <v>7</v>
      </c>
      <c r="EL37" s="5">
        <v>8</v>
      </c>
      <c r="FA37" s="251">
        <f t="shared" si="4"/>
        <v>1.46</v>
      </c>
    </row>
    <row r="38" spans="1:157" s="1" customFormat="1" ht="20.149999999999999" customHeight="1" x14ac:dyDescent="0.35">
      <c r="A38" s="137"/>
      <c r="B38" s="189" t="s">
        <v>1355</v>
      </c>
      <c r="C38" s="47" t="s">
        <v>1473</v>
      </c>
      <c r="D38" s="2" t="s">
        <v>638</v>
      </c>
      <c r="E38" s="2" t="s">
        <v>59</v>
      </c>
      <c r="F38" s="2" t="s">
        <v>1619</v>
      </c>
      <c r="G38" s="48" t="s">
        <v>30</v>
      </c>
      <c r="H38" s="57"/>
      <c r="I38" s="197"/>
      <c r="J38" s="197"/>
      <c r="K38" s="197"/>
      <c r="L38" s="197"/>
      <c r="M38" s="197"/>
      <c r="N38" s="194"/>
      <c r="O38" s="197"/>
      <c r="P38" s="197"/>
      <c r="Q38" s="197"/>
      <c r="R38" s="197"/>
      <c r="S38" s="197"/>
      <c r="T38" s="197"/>
      <c r="U38" s="197"/>
      <c r="V38" s="168"/>
      <c r="W38" s="197"/>
      <c r="X38" s="197"/>
      <c r="Y38" s="197"/>
      <c r="Z38" s="197"/>
      <c r="AA38" s="197"/>
      <c r="AB38" s="197"/>
      <c r="AC38" s="197"/>
      <c r="AD38" s="197"/>
      <c r="AE38" s="197"/>
      <c r="AF38" s="194"/>
      <c r="AG38" s="194"/>
      <c r="AI38" s="194"/>
      <c r="AJ38" s="194"/>
      <c r="AK38" s="47"/>
      <c r="AL38" s="47"/>
      <c r="AM38" s="47"/>
      <c r="AN38" s="47"/>
      <c r="AO38" s="47"/>
      <c r="AP38" s="197"/>
      <c r="AQ38" s="197"/>
      <c r="AR38" s="197"/>
      <c r="AS38" s="197"/>
      <c r="AT38" s="197"/>
      <c r="AU38" s="197"/>
      <c r="AV38" s="197"/>
      <c r="AW38" s="197"/>
      <c r="AX38" s="197"/>
      <c r="AY38" s="197"/>
      <c r="AZ38" s="197"/>
      <c r="BA38" s="197"/>
      <c r="BB38" s="197"/>
      <c r="BC38" s="19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198"/>
      <c r="CJ38" s="47"/>
      <c r="CK38" s="47"/>
      <c r="CL38" s="47">
        <v>7</v>
      </c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198"/>
      <c r="DX38" s="47"/>
      <c r="DY38" s="47"/>
      <c r="DZ38" s="198"/>
      <c r="EA38" s="47"/>
      <c r="EB38" s="47"/>
      <c r="EC38" s="47"/>
      <c r="ED38" s="195"/>
      <c r="EE38" s="195"/>
      <c r="EF38" s="195"/>
      <c r="EG38" s="195"/>
      <c r="EH38" s="195"/>
      <c r="EI38" s="196"/>
      <c r="EJ38" s="201"/>
      <c r="EK38" s="202"/>
      <c r="FA38" s="251">
        <f t="shared" si="4"/>
        <v>0</v>
      </c>
    </row>
    <row r="39" spans="1:157" s="1" customFormat="1" ht="20.149999999999999" customHeight="1" x14ac:dyDescent="0.35">
      <c r="A39" s="137"/>
      <c r="B39" s="189" t="s">
        <v>843</v>
      </c>
      <c r="C39" s="47" t="s">
        <v>1474</v>
      </c>
      <c r="D39" s="2" t="s">
        <v>638</v>
      </c>
      <c r="E39" s="2" t="s">
        <v>59</v>
      </c>
      <c r="F39" s="2" t="s">
        <v>1619</v>
      </c>
      <c r="G39" s="48" t="s">
        <v>30</v>
      </c>
      <c r="H39" s="328">
        <v>1.46</v>
      </c>
      <c r="I39" s="197"/>
      <c r="J39" s="197"/>
      <c r="K39" s="197"/>
      <c r="L39" s="197"/>
      <c r="M39" s="197"/>
      <c r="N39" s="194"/>
      <c r="O39" s="197"/>
      <c r="P39" s="197"/>
      <c r="Q39" s="197"/>
      <c r="R39" s="197"/>
      <c r="S39" s="197"/>
      <c r="T39" s="197"/>
      <c r="U39" s="197"/>
      <c r="V39" s="168"/>
      <c r="W39" s="197"/>
      <c r="X39" s="197"/>
      <c r="Y39" s="197"/>
      <c r="Z39" s="197"/>
      <c r="AA39" s="197"/>
      <c r="AB39" s="197"/>
      <c r="AC39" s="197"/>
      <c r="AD39" s="197"/>
      <c r="AE39" s="197"/>
      <c r="AF39" s="194"/>
      <c r="AG39" s="194"/>
      <c r="AH39" s="5"/>
      <c r="AI39" s="194"/>
      <c r="AJ39" s="194"/>
      <c r="AK39" s="47"/>
      <c r="AL39" s="47"/>
      <c r="AM39" s="47"/>
      <c r="AN39" s="47"/>
      <c r="AO39" s="47"/>
      <c r="AP39" s="197"/>
      <c r="AQ39" s="197"/>
      <c r="AR39" s="197"/>
      <c r="AS39" s="197"/>
      <c r="AT39" s="197"/>
      <c r="AU39" s="197"/>
      <c r="AV39" s="197"/>
      <c r="AW39" s="197"/>
      <c r="AX39" s="197"/>
      <c r="AY39" s="197"/>
      <c r="AZ39" s="197"/>
      <c r="BA39" s="197"/>
      <c r="BB39" s="197"/>
      <c r="BC39" s="19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198">
        <v>8</v>
      </c>
      <c r="CJ39" s="47"/>
      <c r="CK39" s="47"/>
      <c r="CL39" s="47"/>
      <c r="CM39" s="47"/>
      <c r="CN39" s="47"/>
      <c r="CO39" s="47"/>
      <c r="CP39" s="47">
        <v>8</v>
      </c>
      <c r="CQ39" s="47"/>
      <c r="CR39" s="47"/>
      <c r="CS39" s="47"/>
      <c r="CT39" s="47"/>
      <c r="CU39" s="47"/>
      <c r="CV39" s="47">
        <v>8</v>
      </c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198"/>
      <c r="DX39" s="47"/>
      <c r="DY39" s="47"/>
      <c r="DZ39" s="198"/>
      <c r="EA39" s="47"/>
      <c r="EB39" s="47"/>
      <c r="EC39" s="47"/>
      <c r="ED39" s="195"/>
      <c r="EE39" s="195"/>
      <c r="EF39" s="195"/>
      <c r="EG39" s="195"/>
      <c r="EH39" s="195"/>
      <c r="EI39" s="196">
        <f t="shared" si="2"/>
        <v>0</v>
      </c>
      <c r="EJ39" s="201">
        <f t="shared" si="3"/>
        <v>1.8542000000000001</v>
      </c>
      <c r="EK39" s="202">
        <f>AVERAGE(I39:EC39)</f>
        <v>8</v>
      </c>
      <c r="EL39" s="5">
        <v>9</v>
      </c>
      <c r="FA39" s="251">
        <f t="shared" si="4"/>
        <v>1.46</v>
      </c>
    </row>
    <row r="40" spans="1:157" s="1" customFormat="1" ht="20.149999999999999" customHeight="1" x14ac:dyDescent="0.35">
      <c r="A40" s="137"/>
      <c r="B40" s="189" t="s">
        <v>1356</v>
      </c>
      <c r="C40" s="47" t="s">
        <v>1475</v>
      </c>
      <c r="D40" s="2" t="s">
        <v>638</v>
      </c>
      <c r="E40" s="2" t="s">
        <v>59</v>
      </c>
      <c r="F40" s="2" t="s">
        <v>1619</v>
      </c>
      <c r="G40" s="48" t="s">
        <v>30</v>
      </c>
      <c r="H40" s="57"/>
      <c r="I40" s="197"/>
      <c r="J40" s="197"/>
      <c r="K40" s="197"/>
      <c r="L40" s="197"/>
      <c r="M40" s="197"/>
      <c r="N40" s="194"/>
      <c r="O40" s="197"/>
      <c r="P40" s="197"/>
      <c r="Q40" s="197"/>
      <c r="R40" s="197"/>
      <c r="S40" s="197"/>
      <c r="T40" s="197"/>
      <c r="U40" s="197"/>
      <c r="V40" s="168"/>
      <c r="W40" s="197"/>
      <c r="X40" s="197"/>
      <c r="Y40" s="197"/>
      <c r="Z40" s="197"/>
      <c r="AA40" s="197"/>
      <c r="AB40" s="197"/>
      <c r="AC40" s="197"/>
      <c r="AD40" s="197"/>
      <c r="AE40" s="197"/>
      <c r="AF40" s="194"/>
      <c r="AG40" s="194"/>
      <c r="AI40" s="194"/>
      <c r="AJ40" s="194"/>
      <c r="AK40" s="47"/>
      <c r="AL40" s="47"/>
      <c r="AM40" s="47"/>
      <c r="AN40" s="47"/>
      <c r="AO40" s="47"/>
      <c r="AP40" s="197"/>
      <c r="AQ40" s="197"/>
      <c r="AR40" s="197"/>
      <c r="AS40" s="197"/>
      <c r="AT40" s="197"/>
      <c r="AU40" s="197"/>
      <c r="AV40" s="197"/>
      <c r="AW40" s="197"/>
      <c r="AX40" s="197"/>
      <c r="AY40" s="197"/>
      <c r="AZ40" s="197"/>
      <c r="BA40" s="197"/>
      <c r="BB40" s="197"/>
      <c r="BC40" s="19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198"/>
      <c r="CJ40" s="47"/>
      <c r="CK40" s="47"/>
      <c r="CL40" s="47">
        <v>8</v>
      </c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198"/>
      <c r="DX40" s="47"/>
      <c r="DY40" s="47"/>
      <c r="DZ40" s="198"/>
      <c r="EA40" s="47"/>
      <c r="EB40" s="47"/>
      <c r="EC40" s="47"/>
      <c r="ED40" s="195"/>
      <c r="EE40" s="195"/>
      <c r="EF40" s="195"/>
      <c r="EG40" s="195"/>
      <c r="EH40" s="195"/>
      <c r="EI40" s="196"/>
      <c r="EJ40" s="201"/>
      <c r="EK40" s="202"/>
      <c r="FA40" s="251">
        <f t="shared" si="4"/>
        <v>0</v>
      </c>
    </row>
    <row r="41" spans="1:157" s="1" customFormat="1" ht="20.149999999999999" customHeight="1" x14ac:dyDescent="0.35">
      <c r="A41" s="137"/>
      <c r="B41" s="189" t="s">
        <v>844</v>
      </c>
      <c r="C41" s="47" t="s">
        <v>1476</v>
      </c>
      <c r="D41" s="2" t="s">
        <v>638</v>
      </c>
      <c r="E41" s="2" t="s">
        <v>59</v>
      </c>
      <c r="F41" s="2" t="s">
        <v>1619</v>
      </c>
      <c r="G41" s="48" t="s">
        <v>30</v>
      </c>
      <c r="H41" s="328">
        <v>2.82</v>
      </c>
      <c r="I41" s="197"/>
      <c r="J41" s="197"/>
      <c r="K41" s="197"/>
      <c r="L41" s="197"/>
      <c r="M41" s="197"/>
      <c r="N41" s="194"/>
      <c r="O41" s="197"/>
      <c r="P41" s="197"/>
      <c r="Q41" s="197"/>
      <c r="R41" s="197"/>
      <c r="S41" s="197"/>
      <c r="T41" s="197"/>
      <c r="U41" s="197"/>
      <c r="V41" s="168"/>
      <c r="W41" s="197"/>
      <c r="X41" s="197"/>
      <c r="Y41" s="197"/>
      <c r="Z41" s="197"/>
      <c r="AA41" s="197"/>
      <c r="AB41" s="197"/>
      <c r="AC41" s="197"/>
      <c r="AD41" s="197"/>
      <c r="AE41" s="197"/>
      <c r="AF41" s="194"/>
      <c r="AG41" s="194"/>
      <c r="AH41" s="5"/>
      <c r="AI41" s="194"/>
      <c r="AJ41" s="194"/>
      <c r="AK41" s="47"/>
      <c r="AL41" s="47"/>
      <c r="AM41" s="47"/>
      <c r="AN41" s="47"/>
      <c r="AO41" s="4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198">
        <v>9</v>
      </c>
      <c r="CJ41" s="47"/>
      <c r="CK41" s="47"/>
      <c r="CL41" s="47"/>
      <c r="CM41" s="47"/>
      <c r="CN41" s="47"/>
      <c r="CO41" s="47"/>
      <c r="CP41" s="47">
        <v>9</v>
      </c>
      <c r="CQ41" s="47"/>
      <c r="CR41" s="47"/>
      <c r="CS41" s="47"/>
      <c r="CT41" s="47"/>
      <c r="CU41" s="47"/>
      <c r="CV41" s="47">
        <v>9</v>
      </c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198"/>
      <c r="DX41" s="47"/>
      <c r="DY41" s="47"/>
      <c r="DZ41" s="198"/>
      <c r="EA41" s="47"/>
      <c r="EB41" s="47"/>
      <c r="EC41" s="47"/>
      <c r="ED41" s="195"/>
      <c r="EE41" s="195"/>
      <c r="EF41" s="195"/>
      <c r="EG41" s="195"/>
      <c r="EH41" s="195"/>
      <c r="EI41" s="196">
        <f t="shared" si="2"/>
        <v>0</v>
      </c>
      <c r="EJ41" s="201">
        <f t="shared" si="3"/>
        <v>3.5813999999999999</v>
      </c>
      <c r="EK41" s="202">
        <f>AVERAGE(I41:EC41)</f>
        <v>9</v>
      </c>
      <c r="EL41" s="5">
        <v>10</v>
      </c>
      <c r="FA41" s="251">
        <f t="shared" si="4"/>
        <v>2.82</v>
      </c>
    </row>
    <row r="42" spans="1:157" s="1" customFormat="1" ht="20.149999999999999" customHeight="1" x14ac:dyDescent="0.35">
      <c r="A42" s="137"/>
      <c r="B42" s="189" t="s">
        <v>1357</v>
      </c>
      <c r="C42" s="47" t="s">
        <v>1477</v>
      </c>
      <c r="D42" s="2" t="s">
        <v>638</v>
      </c>
      <c r="E42" s="2" t="s">
        <v>59</v>
      </c>
      <c r="F42" s="2" t="s">
        <v>1619</v>
      </c>
      <c r="G42" s="48" t="s">
        <v>30</v>
      </c>
      <c r="H42" s="57"/>
      <c r="I42" s="197"/>
      <c r="J42" s="197"/>
      <c r="K42" s="197"/>
      <c r="L42" s="197"/>
      <c r="M42" s="197"/>
      <c r="N42" s="194"/>
      <c r="O42" s="197"/>
      <c r="P42" s="197"/>
      <c r="Q42" s="197"/>
      <c r="R42" s="197"/>
      <c r="S42" s="197"/>
      <c r="T42" s="197"/>
      <c r="U42" s="197"/>
      <c r="V42" s="168"/>
      <c r="W42" s="197"/>
      <c r="X42" s="197"/>
      <c r="Y42" s="197"/>
      <c r="Z42" s="197"/>
      <c r="AA42" s="197"/>
      <c r="AB42" s="197"/>
      <c r="AC42" s="197"/>
      <c r="AD42" s="197"/>
      <c r="AE42" s="197"/>
      <c r="AF42" s="194"/>
      <c r="AG42" s="194"/>
      <c r="AI42" s="194"/>
      <c r="AJ42" s="194"/>
      <c r="AK42" s="47"/>
      <c r="AL42" s="47"/>
      <c r="AM42" s="47"/>
      <c r="AN42" s="47"/>
      <c r="AO42" s="47"/>
      <c r="AP42" s="197"/>
      <c r="AQ42" s="197"/>
      <c r="AR42" s="197"/>
      <c r="AS42" s="197"/>
      <c r="AT42" s="197"/>
      <c r="AU42" s="197"/>
      <c r="AV42" s="197"/>
      <c r="AW42" s="197"/>
      <c r="AX42" s="197"/>
      <c r="AY42" s="197"/>
      <c r="AZ42" s="197"/>
      <c r="BA42" s="197"/>
      <c r="BB42" s="197"/>
      <c r="BC42" s="19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198"/>
      <c r="CJ42" s="47"/>
      <c r="CK42" s="47"/>
      <c r="CL42" s="47">
        <v>9</v>
      </c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198"/>
      <c r="DX42" s="47"/>
      <c r="DY42" s="47"/>
      <c r="DZ42" s="198"/>
      <c r="EA42" s="47"/>
      <c r="EB42" s="47"/>
      <c r="EC42" s="47"/>
      <c r="ED42" s="195"/>
      <c r="EE42" s="195"/>
      <c r="EF42" s="195"/>
      <c r="EG42" s="195"/>
      <c r="EH42" s="195"/>
      <c r="EI42" s="196"/>
      <c r="EJ42" s="201"/>
      <c r="EK42" s="202"/>
      <c r="FA42" s="251">
        <f t="shared" si="4"/>
        <v>0</v>
      </c>
    </row>
    <row r="43" spans="1:157" s="1" customFormat="1" ht="20.149999999999999" customHeight="1" x14ac:dyDescent="0.35">
      <c r="A43" s="137"/>
      <c r="B43" s="47" t="s">
        <v>845</v>
      </c>
      <c r="C43" s="47" t="s">
        <v>1620</v>
      </c>
      <c r="D43" s="252" t="s">
        <v>638</v>
      </c>
      <c r="E43" s="2" t="s">
        <v>59</v>
      </c>
      <c r="F43" s="2" t="s">
        <v>1621</v>
      </c>
      <c r="G43" s="2" t="s">
        <v>37</v>
      </c>
      <c r="H43" s="57"/>
      <c r="I43" s="197"/>
      <c r="J43" s="197"/>
      <c r="K43" s="197"/>
      <c r="L43" s="197"/>
      <c r="M43" s="197"/>
      <c r="N43" s="194"/>
      <c r="O43" s="197"/>
      <c r="P43" s="197"/>
      <c r="Q43" s="197"/>
      <c r="R43" s="197"/>
      <c r="S43" s="197"/>
      <c r="T43" s="197"/>
      <c r="U43" s="197"/>
      <c r="V43" s="168"/>
      <c r="W43" s="197"/>
      <c r="X43" s="197"/>
      <c r="Y43" s="197"/>
      <c r="Z43" s="197"/>
      <c r="AA43" s="197"/>
      <c r="AB43" s="197"/>
      <c r="AC43" s="197"/>
      <c r="AD43" s="197"/>
      <c r="AE43" s="197"/>
      <c r="AF43" s="194"/>
      <c r="AG43" s="194"/>
      <c r="AI43" s="194"/>
      <c r="AJ43" s="194"/>
      <c r="AK43" s="47"/>
      <c r="AL43" s="47"/>
      <c r="AM43" s="47"/>
      <c r="AN43" s="47"/>
      <c r="AO43" s="47"/>
      <c r="AP43" s="197"/>
      <c r="AQ43" s="197"/>
      <c r="AR43" s="197"/>
      <c r="AS43" s="197"/>
      <c r="AT43" s="197"/>
      <c r="AU43" s="197"/>
      <c r="AV43" s="197"/>
      <c r="AW43" s="197"/>
      <c r="AX43" s="197"/>
      <c r="AY43" s="197"/>
      <c r="AZ43" s="197"/>
      <c r="BA43" s="197"/>
      <c r="BB43" s="197"/>
      <c r="BC43" s="19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>
        <v>0</v>
      </c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198"/>
      <c r="DX43" s="47"/>
      <c r="DY43" s="47"/>
      <c r="DZ43" s="198"/>
      <c r="EA43" s="47"/>
      <c r="EB43" s="47"/>
      <c r="EC43" s="47"/>
      <c r="ED43" s="195"/>
      <c r="EE43" s="195"/>
      <c r="EF43" s="195"/>
      <c r="EG43" s="195"/>
      <c r="EH43" s="195"/>
      <c r="EI43" s="196">
        <f t="shared" si="2"/>
        <v>0</v>
      </c>
      <c r="EJ43" s="201">
        <f t="shared" si="3"/>
        <v>0</v>
      </c>
      <c r="EK43" s="202">
        <v>5</v>
      </c>
      <c r="FA43" s="251">
        <f t="shared" si="4"/>
        <v>0</v>
      </c>
    </row>
    <row r="44" spans="1:157" s="1" customFormat="1" ht="20.149999999999999" customHeight="1" x14ac:dyDescent="0.35">
      <c r="A44" s="137"/>
      <c r="B44" s="47" t="s">
        <v>846</v>
      </c>
      <c r="C44" s="47" t="s">
        <v>1497</v>
      </c>
      <c r="D44" s="252" t="s">
        <v>638</v>
      </c>
      <c r="E44" s="2" t="s">
        <v>59</v>
      </c>
      <c r="F44" s="2" t="s">
        <v>1514</v>
      </c>
      <c r="G44" s="2" t="s">
        <v>30</v>
      </c>
      <c r="H44" s="328">
        <v>1.0900000000000001</v>
      </c>
      <c r="I44" s="197"/>
      <c r="J44" s="197"/>
      <c r="K44" s="197"/>
      <c r="L44" s="197"/>
      <c r="M44" s="197"/>
      <c r="N44" s="194"/>
      <c r="O44" s="197"/>
      <c r="P44" s="197"/>
      <c r="Q44" s="197"/>
      <c r="R44" s="197"/>
      <c r="S44" s="197"/>
      <c r="T44" s="197"/>
      <c r="U44" s="197"/>
      <c r="V44" s="168"/>
      <c r="W44" s="197"/>
      <c r="X44" s="197"/>
      <c r="Y44" s="197"/>
      <c r="Z44" s="197"/>
      <c r="AA44" s="197"/>
      <c r="AB44" s="197"/>
      <c r="AC44" s="197"/>
      <c r="AD44" s="197"/>
      <c r="AE44" s="197"/>
      <c r="AF44" s="194"/>
      <c r="AG44" s="194"/>
      <c r="AI44" s="194"/>
      <c r="AJ44" s="194"/>
      <c r="AK44" s="47"/>
      <c r="AL44" s="47"/>
      <c r="AM44" s="47"/>
      <c r="AN44" s="47"/>
      <c r="AO44" s="47"/>
      <c r="AP44" s="197"/>
      <c r="AQ44" s="197"/>
      <c r="AR44" s="197"/>
      <c r="AS44" s="197"/>
      <c r="AT44" s="197"/>
      <c r="AU44" s="197"/>
      <c r="AV44" s="197"/>
      <c r="AW44" s="197"/>
      <c r="AX44" s="197"/>
      <c r="AY44" s="197"/>
      <c r="AZ44" s="197"/>
      <c r="BA44" s="197"/>
      <c r="BB44" s="197"/>
      <c r="BC44" s="19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>
        <v>0</v>
      </c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198"/>
      <c r="DX44" s="47"/>
      <c r="DY44" s="47"/>
      <c r="DZ44" s="198"/>
      <c r="EA44" s="47"/>
      <c r="EB44" s="47"/>
      <c r="EC44" s="47"/>
      <c r="ED44" s="195"/>
      <c r="EE44" s="195">
        <v>0.45</v>
      </c>
      <c r="EF44" s="195"/>
      <c r="EG44" s="195"/>
      <c r="EH44" s="195"/>
      <c r="EI44" s="196">
        <f t="shared" si="2"/>
        <v>0</v>
      </c>
      <c r="EJ44" s="201">
        <f t="shared" si="3"/>
        <v>1.3843000000000001</v>
      </c>
      <c r="EK44" s="202">
        <v>0</v>
      </c>
      <c r="FA44" s="251">
        <f t="shared" si="4"/>
        <v>1.0900000000000001</v>
      </c>
    </row>
    <row r="45" spans="1:157" s="1" customFormat="1" ht="20.149999999999999" customHeight="1" x14ac:dyDescent="0.35">
      <c r="A45" s="137"/>
      <c r="B45" s="189" t="s">
        <v>1186</v>
      </c>
      <c r="C45" s="47" t="s">
        <v>1751</v>
      </c>
      <c r="D45" s="2" t="s">
        <v>638</v>
      </c>
      <c r="E45" s="2" t="s">
        <v>59</v>
      </c>
      <c r="F45" s="2" t="s">
        <v>1514</v>
      </c>
      <c r="G45" s="2" t="s">
        <v>30</v>
      </c>
      <c r="H45" s="57">
        <v>1.48</v>
      </c>
      <c r="I45" s="197"/>
      <c r="J45" s="197"/>
      <c r="K45" s="197"/>
      <c r="L45" s="197"/>
      <c r="M45" s="197"/>
      <c r="N45" s="194"/>
      <c r="O45" s="197"/>
      <c r="P45" s="197"/>
      <c r="Q45" s="197"/>
      <c r="R45" s="197"/>
      <c r="S45" s="197"/>
      <c r="T45" s="197"/>
      <c r="U45" s="197"/>
      <c r="V45" s="168"/>
      <c r="W45" s="197"/>
      <c r="X45" s="197"/>
      <c r="Y45" s="197"/>
      <c r="Z45" s="197"/>
      <c r="AA45" s="197"/>
      <c r="AB45" s="197"/>
      <c r="AC45" s="197"/>
      <c r="AD45" s="197"/>
      <c r="AE45" s="197"/>
      <c r="AF45" s="194"/>
      <c r="AG45" s="194"/>
      <c r="AI45" s="194"/>
      <c r="AJ45" s="194"/>
      <c r="AK45" s="47"/>
      <c r="AL45" s="47"/>
      <c r="AM45" s="47"/>
      <c r="AN45" s="47"/>
      <c r="AO45" s="47"/>
      <c r="AP45" s="197"/>
      <c r="AQ45" s="197"/>
      <c r="AR45" s="197"/>
      <c r="AS45" s="197"/>
      <c r="AT45" s="197"/>
      <c r="AU45" s="197"/>
      <c r="AV45" s="197"/>
      <c r="AW45" s="197"/>
      <c r="AX45" s="197"/>
      <c r="AY45" s="197"/>
      <c r="AZ45" s="197"/>
      <c r="BA45" s="197"/>
      <c r="BB45" s="197"/>
      <c r="BC45" s="19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>
        <v>9</v>
      </c>
      <c r="DU45" s="47"/>
      <c r="DV45" s="47"/>
      <c r="DW45" s="198"/>
      <c r="DX45" s="47"/>
      <c r="DY45" s="47"/>
      <c r="DZ45" s="198"/>
      <c r="EA45" s="47"/>
      <c r="EB45" s="47"/>
      <c r="EC45" s="47"/>
      <c r="ED45" s="195"/>
      <c r="EE45" s="195"/>
      <c r="EF45" s="195"/>
      <c r="EG45" s="195"/>
      <c r="EH45" s="195"/>
      <c r="EI45" s="196"/>
      <c r="EJ45" s="201"/>
      <c r="EK45" s="202"/>
      <c r="FA45" s="251">
        <f t="shared" si="4"/>
        <v>1.48</v>
      </c>
    </row>
    <row r="46" spans="1:157" s="1" customFormat="1" ht="20.149999999999999" customHeight="1" x14ac:dyDescent="0.35">
      <c r="A46" s="137"/>
      <c r="B46" s="189" t="s">
        <v>1187</v>
      </c>
      <c r="C46" s="47" t="s">
        <v>1372</v>
      </c>
      <c r="D46" s="2" t="s">
        <v>638</v>
      </c>
      <c r="E46" s="2" t="s">
        <v>59</v>
      </c>
      <c r="F46" s="2" t="s">
        <v>1622</v>
      </c>
      <c r="G46" s="48" t="s">
        <v>30</v>
      </c>
      <c r="H46" s="57">
        <v>5.64</v>
      </c>
      <c r="I46" s="197"/>
      <c r="J46" s="197"/>
      <c r="K46" s="197"/>
      <c r="L46" s="197"/>
      <c r="M46" s="197"/>
      <c r="N46" s="194"/>
      <c r="O46" s="197"/>
      <c r="P46" s="197"/>
      <c r="Q46" s="197"/>
      <c r="R46" s="197"/>
      <c r="S46" s="197"/>
      <c r="T46" s="197"/>
      <c r="U46" s="197"/>
      <c r="V46" s="168"/>
      <c r="W46" s="197"/>
      <c r="X46" s="197"/>
      <c r="Y46" s="197"/>
      <c r="Z46" s="197"/>
      <c r="AA46" s="197"/>
      <c r="AB46" s="197"/>
      <c r="AC46" s="197"/>
      <c r="AD46" s="197"/>
      <c r="AE46" s="197"/>
      <c r="AF46" s="194"/>
      <c r="AG46" s="194"/>
      <c r="AI46" s="194"/>
      <c r="AJ46" s="194"/>
      <c r="AK46" s="47"/>
      <c r="AL46" s="47"/>
      <c r="AM46" s="47"/>
      <c r="AN46" s="47"/>
      <c r="AO46" s="47"/>
      <c r="AP46" s="197"/>
      <c r="AQ46" s="197"/>
      <c r="AR46" s="197"/>
      <c r="AS46" s="197"/>
      <c r="AT46" s="197"/>
      <c r="AU46" s="197"/>
      <c r="AV46" s="197"/>
      <c r="AW46" s="197"/>
      <c r="AX46" s="197"/>
      <c r="AY46" s="197"/>
      <c r="AZ46" s="197"/>
      <c r="BA46" s="197"/>
      <c r="BB46" s="197"/>
      <c r="BC46" s="19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>
        <v>12</v>
      </c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198"/>
      <c r="DX46" s="47"/>
      <c r="DY46" s="47"/>
      <c r="DZ46" s="198"/>
      <c r="EA46" s="47"/>
      <c r="EB46" s="47"/>
      <c r="EC46" s="47"/>
      <c r="ED46" s="195"/>
      <c r="EE46" s="195"/>
      <c r="EF46" s="195"/>
      <c r="EG46" s="195"/>
      <c r="EH46" s="195"/>
      <c r="EI46" s="196"/>
      <c r="EJ46" s="201"/>
      <c r="EK46" s="202"/>
      <c r="FA46" s="251">
        <f t="shared" si="4"/>
        <v>5.64</v>
      </c>
    </row>
    <row r="47" spans="1:157" s="1" customFormat="1" ht="20.149999999999999" customHeight="1" x14ac:dyDescent="0.35">
      <c r="A47" s="137"/>
      <c r="B47" s="189" t="s">
        <v>1197</v>
      </c>
      <c r="C47" s="47" t="s">
        <v>1623</v>
      </c>
      <c r="D47" s="2" t="s">
        <v>638</v>
      </c>
      <c r="E47" s="2" t="s">
        <v>59</v>
      </c>
      <c r="F47" s="2" t="s">
        <v>1198</v>
      </c>
      <c r="G47" s="48" t="s">
        <v>30</v>
      </c>
      <c r="H47" s="57"/>
      <c r="I47" s="197"/>
      <c r="J47" s="197"/>
      <c r="K47" s="197"/>
      <c r="L47" s="197"/>
      <c r="M47" s="197"/>
      <c r="N47" s="194"/>
      <c r="O47" s="197"/>
      <c r="P47" s="197"/>
      <c r="Q47" s="197"/>
      <c r="R47" s="197"/>
      <c r="S47" s="197"/>
      <c r="T47" s="197"/>
      <c r="U47" s="197"/>
      <c r="V47" s="168"/>
      <c r="W47" s="197"/>
      <c r="X47" s="197"/>
      <c r="Y47" s="197"/>
      <c r="Z47" s="197"/>
      <c r="AA47" s="197"/>
      <c r="AB47" s="197"/>
      <c r="AC47" s="197"/>
      <c r="AD47" s="197"/>
      <c r="AE47" s="197"/>
      <c r="AF47" s="194"/>
      <c r="AG47" s="194"/>
      <c r="AI47" s="194"/>
      <c r="AJ47" s="194"/>
      <c r="AK47" s="47"/>
      <c r="AL47" s="47"/>
      <c r="AM47" s="47"/>
      <c r="AN47" s="47"/>
      <c r="AO47" s="47"/>
      <c r="AP47" s="197"/>
      <c r="AQ47" s="197"/>
      <c r="AR47" s="197"/>
      <c r="AS47" s="197"/>
      <c r="AT47" s="197"/>
      <c r="AU47" s="197"/>
      <c r="AV47" s="197"/>
      <c r="AW47" s="197"/>
      <c r="AX47" s="197"/>
      <c r="AY47" s="197"/>
      <c r="AZ47" s="197"/>
      <c r="BA47" s="197"/>
      <c r="BB47" s="197"/>
      <c r="BC47" s="19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198"/>
      <c r="DX47" s="47"/>
      <c r="DY47" s="47"/>
      <c r="DZ47" s="198"/>
      <c r="EA47" s="47"/>
      <c r="EB47" s="47"/>
      <c r="EC47" s="47"/>
      <c r="ED47" s="195"/>
      <c r="EE47" s="195">
        <v>1</v>
      </c>
      <c r="EF47" s="195"/>
      <c r="EG47" s="195"/>
      <c r="EH47" s="195"/>
      <c r="EI47" s="196"/>
      <c r="EJ47" s="201"/>
      <c r="EK47" s="202"/>
      <c r="FA47" s="251">
        <f t="shared" si="4"/>
        <v>0</v>
      </c>
    </row>
    <row r="48" spans="1:157" s="1" customFormat="1" ht="20.149999999999999" customHeight="1" x14ac:dyDescent="0.35">
      <c r="A48" s="137"/>
      <c r="B48" s="189" t="s">
        <v>1210</v>
      </c>
      <c r="C48" s="47" t="s">
        <v>1623</v>
      </c>
      <c r="D48" s="2" t="s">
        <v>638</v>
      </c>
      <c r="E48" s="2" t="s">
        <v>59</v>
      </c>
      <c r="F48" s="2" t="s">
        <v>31</v>
      </c>
      <c r="G48" s="48" t="s">
        <v>30</v>
      </c>
      <c r="H48" s="57"/>
      <c r="I48" s="197"/>
      <c r="J48" s="197"/>
      <c r="K48" s="197"/>
      <c r="L48" s="197"/>
      <c r="M48" s="197"/>
      <c r="N48" s="194"/>
      <c r="O48" s="197"/>
      <c r="P48" s="197"/>
      <c r="Q48" s="197"/>
      <c r="R48" s="197"/>
      <c r="S48" s="197"/>
      <c r="T48" s="197"/>
      <c r="U48" s="197"/>
      <c r="V48" s="168"/>
      <c r="W48" s="197"/>
      <c r="X48" s="197"/>
      <c r="Y48" s="197"/>
      <c r="Z48" s="197"/>
      <c r="AA48" s="197"/>
      <c r="AB48" s="197"/>
      <c r="AC48" s="197"/>
      <c r="AD48" s="197"/>
      <c r="AE48" s="197"/>
      <c r="AF48" s="194"/>
      <c r="AG48" s="194"/>
      <c r="AI48" s="194"/>
      <c r="AJ48" s="194"/>
      <c r="AK48" s="47"/>
      <c r="AL48" s="47"/>
      <c r="AM48" s="47"/>
      <c r="AN48" s="47"/>
      <c r="AO48" s="47"/>
      <c r="AP48" s="197"/>
      <c r="AQ48" s="197"/>
      <c r="AR48" s="197"/>
      <c r="AS48" s="197"/>
      <c r="AT48" s="197"/>
      <c r="AU48" s="197"/>
      <c r="AV48" s="197"/>
      <c r="AW48" s="197"/>
      <c r="AX48" s="197"/>
      <c r="AY48" s="197"/>
      <c r="AZ48" s="197"/>
      <c r="BA48" s="197"/>
      <c r="BB48" s="197"/>
      <c r="BC48" s="19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>
        <v>0.6</v>
      </c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198"/>
      <c r="DX48" s="47"/>
      <c r="DY48" s="47"/>
      <c r="DZ48" s="198"/>
      <c r="EA48" s="47"/>
      <c r="EB48" s="47"/>
      <c r="EC48" s="47"/>
      <c r="ED48" s="195"/>
      <c r="EE48" s="195"/>
      <c r="EF48" s="195"/>
      <c r="EG48" s="195"/>
      <c r="EH48" s="195"/>
      <c r="EI48" s="196"/>
      <c r="EJ48" s="201"/>
      <c r="EK48" s="202"/>
      <c r="FA48" s="251">
        <f t="shared" si="4"/>
        <v>0</v>
      </c>
    </row>
    <row r="49" spans="1:157" s="1" customFormat="1" ht="20.149999999999999" customHeight="1" x14ac:dyDescent="0.35">
      <c r="A49" s="137"/>
      <c r="B49" s="189" t="s">
        <v>1199</v>
      </c>
      <c r="C49" s="47" t="s">
        <v>1624</v>
      </c>
      <c r="D49" s="2" t="s">
        <v>638</v>
      </c>
      <c r="E49" s="2" t="s">
        <v>59</v>
      </c>
      <c r="F49" s="2" t="s">
        <v>1198</v>
      </c>
      <c r="G49" s="48" t="s">
        <v>30</v>
      </c>
      <c r="H49" s="57"/>
      <c r="I49" s="197"/>
      <c r="J49" s="197"/>
      <c r="K49" s="197"/>
      <c r="L49" s="197"/>
      <c r="M49" s="197"/>
      <c r="N49" s="194"/>
      <c r="O49" s="197"/>
      <c r="P49" s="197"/>
      <c r="Q49" s="197"/>
      <c r="R49" s="197"/>
      <c r="S49" s="197">
        <v>5.5</v>
      </c>
      <c r="T49" s="197"/>
      <c r="U49" s="197"/>
      <c r="V49" s="168"/>
      <c r="W49" s="197"/>
      <c r="X49" s="197"/>
      <c r="Y49" s="197"/>
      <c r="Z49" s="197"/>
      <c r="AA49" s="197"/>
      <c r="AB49" s="197"/>
      <c r="AC49" s="197"/>
      <c r="AD49" s="197"/>
      <c r="AE49" s="197"/>
      <c r="AF49" s="194"/>
      <c r="AG49" s="194"/>
      <c r="AH49" s="5"/>
      <c r="AI49" s="194"/>
      <c r="AJ49" s="194"/>
      <c r="AK49" s="47"/>
      <c r="AL49" s="47"/>
      <c r="AM49" s="47"/>
      <c r="AN49" s="47"/>
      <c r="AO49" s="47"/>
      <c r="AP49" s="197"/>
      <c r="AQ49" s="197"/>
      <c r="AR49" s="197"/>
      <c r="AS49" s="197"/>
      <c r="AT49" s="197"/>
      <c r="AU49" s="197"/>
      <c r="AV49" s="197"/>
      <c r="AW49" s="197"/>
      <c r="AX49" s="197"/>
      <c r="AY49" s="197"/>
      <c r="AZ49" s="197"/>
      <c r="BA49" s="197"/>
      <c r="BB49" s="197"/>
      <c r="BC49" s="19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198"/>
      <c r="DX49" s="47"/>
      <c r="DY49" s="47"/>
      <c r="DZ49" s="198"/>
      <c r="EA49" s="47"/>
      <c r="EB49" s="47"/>
      <c r="EC49" s="47"/>
      <c r="ED49" s="195"/>
      <c r="EE49" s="195"/>
      <c r="EF49" s="195"/>
      <c r="EG49" s="195"/>
      <c r="EH49" s="195"/>
      <c r="EI49" s="196"/>
      <c r="EJ49" s="201"/>
      <c r="EK49" s="202"/>
      <c r="EL49" s="5">
        <v>5.5</v>
      </c>
      <c r="FA49" s="251">
        <f t="shared" si="4"/>
        <v>0</v>
      </c>
    </row>
    <row r="50" spans="1:157" s="1" customFormat="1" ht="20.149999999999999" customHeight="1" x14ac:dyDescent="0.35">
      <c r="A50" s="137"/>
      <c r="B50" s="189" t="s">
        <v>1207</v>
      </c>
      <c r="C50" s="47" t="s">
        <v>1624</v>
      </c>
      <c r="D50" s="2" t="s">
        <v>638</v>
      </c>
      <c r="E50" s="2" t="s">
        <v>59</v>
      </c>
      <c r="F50" s="2" t="s">
        <v>31</v>
      </c>
      <c r="G50" s="48" t="s">
        <v>30</v>
      </c>
      <c r="H50" s="57"/>
      <c r="I50" s="197"/>
      <c r="J50" s="197"/>
      <c r="K50" s="197"/>
      <c r="L50" s="197"/>
      <c r="M50" s="197"/>
      <c r="N50" s="194"/>
      <c r="O50" s="197"/>
      <c r="P50" s="197"/>
      <c r="Q50" s="197"/>
      <c r="R50" s="197"/>
      <c r="S50" s="197"/>
      <c r="T50" s="197"/>
      <c r="U50" s="197"/>
      <c r="V50" s="168"/>
      <c r="W50" s="197"/>
      <c r="X50" s="197"/>
      <c r="Y50" s="197"/>
      <c r="Z50" s="197"/>
      <c r="AA50" s="197"/>
      <c r="AB50" s="197"/>
      <c r="AC50" s="197"/>
      <c r="AD50" s="197"/>
      <c r="AE50" s="197"/>
      <c r="AF50" s="194"/>
      <c r="AG50" s="194"/>
      <c r="AI50" s="194"/>
      <c r="AJ50" s="194"/>
      <c r="AK50" s="47"/>
      <c r="AL50" s="47"/>
      <c r="AM50" s="47"/>
      <c r="AN50" s="47"/>
      <c r="AO50" s="47"/>
      <c r="AP50" s="197"/>
      <c r="AQ50" s="197"/>
      <c r="AR50" s="197"/>
      <c r="AS50" s="197"/>
      <c r="AT50" s="197"/>
      <c r="AU50" s="197"/>
      <c r="AV50" s="197"/>
      <c r="AW50" s="197"/>
      <c r="AX50" s="197"/>
      <c r="AY50" s="197"/>
      <c r="AZ50" s="197"/>
      <c r="BA50" s="197"/>
      <c r="BB50" s="197"/>
      <c r="BC50" s="19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198"/>
      <c r="DX50" s="47"/>
      <c r="DY50" s="47"/>
      <c r="DZ50" s="198"/>
      <c r="EA50" s="47"/>
      <c r="EB50" s="47"/>
      <c r="EC50" s="47"/>
      <c r="ED50" s="195"/>
      <c r="EE50" s="195">
        <v>0.5</v>
      </c>
      <c r="EF50" s="195"/>
      <c r="EG50" s="195"/>
      <c r="EH50" s="195"/>
      <c r="EI50" s="196"/>
      <c r="EJ50" s="201"/>
      <c r="EK50" s="202"/>
      <c r="FA50" s="251">
        <f t="shared" si="4"/>
        <v>0</v>
      </c>
    </row>
    <row r="51" spans="1:157" s="1" customFormat="1" ht="20.149999999999999" customHeight="1" x14ac:dyDescent="0.35">
      <c r="A51" s="137"/>
      <c r="B51" s="47" t="s">
        <v>1200</v>
      </c>
      <c r="C51" s="47" t="s">
        <v>1625</v>
      </c>
      <c r="D51" s="252" t="s">
        <v>638</v>
      </c>
      <c r="E51" s="2" t="s">
        <v>59</v>
      </c>
      <c r="F51" s="2" t="s">
        <v>1201</v>
      </c>
      <c r="G51" s="48" t="s">
        <v>30</v>
      </c>
      <c r="H51" s="57"/>
      <c r="I51" s="197"/>
      <c r="J51" s="197"/>
      <c r="K51" s="197"/>
      <c r="L51" s="197"/>
      <c r="M51" s="197"/>
      <c r="N51" s="194"/>
      <c r="O51" s="197"/>
      <c r="P51" s="197"/>
      <c r="Q51" s="197"/>
      <c r="R51" s="197"/>
      <c r="S51" s="197"/>
      <c r="T51" s="197"/>
      <c r="U51" s="197"/>
      <c r="V51" s="168"/>
      <c r="W51" s="197"/>
      <c r="X51" s="197"/>
      <c r="Y51" s="197"/>
      <c r="Z51" s="197"/>
      <c r="AA51" s="197"/>
      <c r="AB51" s="197"/>
      <c r="AC51" s="197"/>
      <c r="AD51" s="197"/>
      <c r="AE51" s="197"/>
      <c r="AF51" s="194"/>
      <c r="AG51" s="194"/>
      <c r="AI51" s="194"/>
      <c r="AJ51" s="194"/>
      <c r="AK51" s="47"/>
      <c r="AL51" s="47"/>
      <c r="AM51" s="47"/>
      <c r="AN51" s="47"/>
      <c r="AO51" s="47"/>
      <c r="AP51" s="197"/>
      <c r="AQ51" s="197"/>
      <c r="AR51" s="197"/>
      <c r="AS51" s="197"/>
      <c r="AT51" s="197"/>
      <c r="AU51" s="197"/>
      <c r="AV51" s="197"/>
      <c r="AW51" s="197"/>
      <c r="AX51" s="197"/>
      <c r="AY51" s="197"/>
      <c r="AZ51" s="197"/>
      <c r="BA51" s="197"/>
      <c r="BB51" s="197"/>
      <c r="BC51" s="19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198"/>
      <c r="DX51" s="47"/>
      <c r="DY51" s="47"/>
      <c r="DZ51" s="198"/>
      <c r="EA51" s="47"/>
      <c r="EB51" s="47"/>
      <c r="EC51" s="47"/>
      <c r="ED51" s="195"/>
      <c r="EE51" s="195"/>
      <c r="EF51" s="195"/>
      <c r="EG51" s="195"/>
      <c r="EH51" s="195"/>
      <c r="EI51" s="196"/>
      <c r="EJ51" s="201"/>
      <c r="EK51" s="202"/>
      <c r="FA51" s="251">
        <f t="shared" si="4"/>
        <v>0</v>
      </c>
    </row>
    <row r="52" spans="1:157" s="1" customFormat="1" ht="20.149999999999999" customHeight="1" x14ac:dyDescent="0.35">
      <c r="A52" s="137"/>
      <c r="B52" s="47" t="s">
        <v>1221</v>
      </c>
      <c r="C52" s="47" t="s">
        <v>1626</v>
      </c>
      <c r="D52" s="252" t="s">
        <v>638</v>
      </c>
      <c r="E52" s="2" t="s">
        <v>59</v>
      </c>
      <c r="F52" s="2" t="s">
        <v>1627</v>
      </c>
      <c r="G52" s="2" t="s">
        <v>30</v>
      </c>
      <c r="H52" s="57"/>
      <c r="I52" s="197"/>
      <c r="J52" s="197"/>
      <c r="K52" s="197"/>
      <c r="L52" s="197"/>
      <c r="M52" s="197"/>
      <c r="N52" s="194"/>
      <c r="O52" s="197"/>
      <c r="P52" s="197"/>
      <c r="Q52" s="197"/>
      <c r="R52" s="197"/>
      <c r="S52" s="197"/>
      <c r="T52" s="197"/>
      <c r="U52" s="197"/>
      <c r="V52" s="168"/>
      <c r="W52" s="197"/>
      <c r="X52" s="197"/>
      <c r="Y52" s="197"/>
      <c r="Z52" s="197"/>
      <c r="AA52" s="197"/>
      <c r="AB52" s="197"/>
      <c r="AC52" s="197"/>
      <c r="AD52" s="197"/>
      <c r="AE52" s="197"/>
      <c r="AF52" s="194"/>
      <c r="AG52" s="194"/>
      <c r="AI52" s="194"/>
      <c r="AJ52" s="194"/>
      <c r="AK52" s="47"/>
      <c r="AL52" s="47"/>
      <c r="AM52" s="47"/>
      <c r="AN52" s="47"/>
      <c r="AO52" s="47"/>
      <c r="AP52" s="197"/>
      <c r="AQ52" s="197"/>
      <c r="AR52" s="197"/>
      <c r="AS52" s="197"/>
      <c r="AT52" s="197"/>
      <c r="AU52" s="197"/>
      <c r="AV52" s="197"/>
      <c r="AW52" s="197"/>
      <c r="AX52" s="197"/>
      <c r="AY52" s="197">
        <v>2.2999999999999998</v>
      </c>
      <c r="AZ52" s="197"/>
      <c r="BA52" s="197"/>
      <c r="BB52" s="197"/>
      <c r="BC52" s="19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198"/>
      <c r="DX52" s="47"/>
      <c r="DY52" s="47"/>
      <c r="DZ52" s="198"/>
      <c r="EA52" s="47"/>
      <c r="EB52" s="47"/>
      <c r="EC52" s="47"/>
      <c r="ED52" s="195"/>
      <c r="EE52" s="195"/>
      <c r="EF52" s="195"/>
      <c r="EG52" s="195"/>
      <c r="EH52" s="195"/>
      <c r="EI52" s="196"/>
      <c r="EJ52" s="201"/>
      <c r="EK52" s="202"/>
      <c r="FA52" s="251">
        <f t="shared" si="4"/>
        <v>0</v>
      </c>
    </row>
    <row r="53" spans="1:157" s="1" customFormat="1" ht="20.149999999999999" customHeight="1" x14ac:dyDescent="0.35">
      <c r="A53" s="137"/>
      <c r="B53" s="47" t="s">
        <v>1230</v>
      </c>
      <c r="C53" s="47" t="s">
        <v>1628</v>
      </c>
      <c r="D53" s="252" t="s">
        <v>56</v>
      </c>
      <c r="E53" s="2" t="s">
        <v>695</v>
      </c>
      <c r="F53" s="2" t="s">
        <v>1629</v>
      </c>
      <c r="G53" s="2" t="s">
        <v>35</v>
      </c>
      <c r="H53" s="57">
        <v>9</v>
      </c>
      <c r="I53" s="197"/>
      <c r="J53" s="197"/>
      <c r="K53" s="197"/>
      <c r="L53" s="197"/>
      <c r="M53" s="197"/>
      <c r="N53" s="194"/>
      <c r="O53" s="197"/>
      <c r="P53" s="197"/>
      <c r="Q53" s="197"/>
      <c r="R53" s="197"/>
      <c r="S53" s="197"/>
      <c r="T53" s="197"/>
      <c r="U53" s="197"/>
      <c r="V53" s="168"/>
      <c r="W53" s="197"/>
      <c r="X53" s="197"/>
      <c r="Y53" s="197"/>
      <c r="Z53" s="197"/>
      <c r="AA53" s="197"/>
      <c r="AB53" s="197"/>
      <c r="AC53" s="197"/>
      <c r="AD53" s="197"/>
      <c r="AE53" s="197"/>
      <c r="AF53" s="194"/>
      <c r="AG53" s="194"/>
      <c r="AI53" s="194"/>
      <c r="AJ53" s="194"/>
      <c r="AK53" s="47"/>
      <c r="AL53" s="47"/>
      <c r="AM53" s="47"/>
      <c r="AN53" s="47"/>
      <c r="AO53" s="47"/>
      <c r="AP53" s="197"/>
      <c r="AQ53" s="197"/>
      <c r="AR53" s="197"/>
      <c r="AS53" s="197"/>
      <c r="AT53" s="197"/>
      <c r="AU53" s="197"/>
      <c r="AV53" s="197"/>
      <c r="AW53" s="197"/>
      <c r="AX53" s="197"/>
      <c r="AY53" s="197"/>
      <c r="AZ53" s="197"/>
      <c r="BA53" s="197"/>
      <c r="BB53" s="197"/>
      <c r="BC53" s="19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>
        <v>0.6</v>
      </c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198"/>
      <c r="DX53" s="47"/>
      <c r="DY53" s="47"/>
      <c r="DZ53" s="198"/>
      <c r="EA53" s="47"/>
      <c r="EB53" s="47"/>
      <c r="EC53" s="47"/>
      <c r="ED53" s="195"/>
      <c r="EE53" s="195"/>
      <c r="EF53" s="195"/>
      <c r="EG53" s="195"/>
      <c r="EH53" s="195"/>
      <c r="EI53" s="196"/>
      <c r="EJ53" s="201"/>
      <c r="EK53" s="202"/>
      <c r="FA53" s="251">
        <f t="shared" si="4"/>
        <v>9</v>
      </c>
    </row>
    <row r="54" spans="1:157" s="1" customFormat="1" ht="20.149999999999999" customHeight="1" x14ac:dyDescent="0.35">
      <c r="A54" s="137"/>
      <c r="B54" s="47" t="s">
        <v>1246</v>
      </c>
      <c r="C54" s="47" t="s">
        <v>1630</v>
      </c>
      <c r="D54" s="252" t="s">
        <v>56</v>
      </c>
      <c r="E54" s="2" t="s">
        <v>695</v>
      </c>
      <c r="F54" s="2" t="s">
        <v>1629</v>
      </c>
      <c r="G54" s="2" t="s">
        <v>35</v>
      </c>
      <c r="H54" s="57">
        <v>9</v>
      </c>
      <c r="I54" s="197"/>
      <c r="J54" s="197"/>
      <c r="K54" s="197"/>
      <c r="L54" s="197"/>
      <c r="M54" s="197"/>
      <c r="N54" s="194"/>
      <c r="O54" s="197"/>
      <c r="P54" s="197"/>
      <c r="Q54" s="197"/>
      <c r="R54" s="197"/>
      <c r="S54" s="197"/>
      <c r="T54" s="197"/>
      <c r="U54" s="197"/>
      <c r="V54" s="168"/>
      <c r="W54" s="197"/>
      <c r="X54" s="197"/>
      <c r="Y54" s="197"/>
      <c r="Z54" s="197"/>
      <c r="AA54" s="197"/>
      <c r="AB54" s="197"/>
      <c r="AC54" s="197"/>
      <c r="AD54" s="197"/>
      <c r="AE54" s="197"/>
      <c r="AF54" s="194"/>
      <c r="AG54" s="194"/>
      <c r="AI54" s="194"/>
      <c r="AJ54" s="194"/>
      <c r="AK54" s="47"/>
      <c r="AL54" s="47"/>
      <c r="AM54" s="47"/>
      <c r="AN54" s="47"/>
      <c r="AO54" s="47"/>
      <c r="AP54" s="197"/>
      <c r="AQ54" s="197"/>
      <c r="AR54" s="197"/>
      <c r="AS54" s="197"/>
      <c r="AT54" s="197"/>
      <c r="AU54" s="197"/>
      <c r="AV54" s="197"/>
      <c r="AW54" s="197"/>
      <c r="AX54" s="197"/>
      <c r="AY54" s="197"/>
      <c r="AZ54" s="197"/>
      <c r="BA54" s="197"/>
      <c r="BB54" s="197"/>
      <c r="BC54" s="19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198"/>
      <c r="DX54" s="47"/>
      <c r="DY54" s="47"/>
      <c r="DZ54" s="198"/>
      <c r="EA54" s="47"/>
      <c r="EB54" s="47"/>
      <c r="EC54" s="47"/>
      <c r="ED54" s="195"/>
      <c r="EE54" s="195"/>
      <c r="EF54" s="195"/>
      <c r="EG54" s="195"/>
      <c r="EH54" s="195"/>
      <c r="EI54" s="196"/>
      <c r="EJ54" s="201"/>
      <c r="EK54" s="202"/>
      <c r="FA54" s="251">
        <f t="shared" si="4"/>
        <v>9</v>
      </c>
    </row>
    <row r="55" spans="1:157" s="1" customFormat="1" ht="20.149999999999999" customHeight="1" x14ac:dyDescent="0.35">
      <c r="A55" s="137"/>
      <c r="B55" s="47" t="s">
        <v>1247</v>
      </c>
      <c r="C55" s="47" t="s">
        <v>1631</v>
      </c>
      <c r="D55" s="252" t="s">
        <v>56</v>
      </c>
      <c r="E55" s="2" t="s">
        <v>695</v>
      </c>
      <c r="F55" s="2" t="s">
        <v>1629</v>
      </c>
      <c r="G55" s="2" t="s">
        <v>35</v>
      </c>
      <c r="H55" s="328">
        <v>9</v>
      </c>
      <c r="I55" s="197"/>
      <c r="J55" s="197"/>
      <c r="K55" s="197"/>
      <c r="L55" s="197"/>
      <c r="M55" s="197"/>
      <c r="N55" s="194"/>
      <c r="O55" s="197"/>
      <c r="P55" s="197"/>
      <c r="Q55" s="197"/>
      <c r="R55" s="197"/>
      <c r="S55" s="197"/>
      <c r="T55" s="197"/>
      <c r="U55" s="197"/>
      <c r="V55" s="168"/>
      <c r="W55" s="197"/>
      <c r="X55" s="197"/>
      <c r="Y55" s="197"/>
      <c r="Z55" s="197"/>
      <c r="AA55" s="197"/>
      <c r="AB55" s="197"/>
      <c r="AC55" s="197"/>
      <c r="AD55" s="197"/>
      <c r="AE55" s="197"/>
      <c r="AF55" s="194"/>
      <c r="AG55" s="194"/>
      <c r="AI55" s="194"/>
      <c r="AJ55" s="194"/>
      <c r="AK55" s="47"/>
      <c r="AL55" s="47"/>
      <c r="AM55" s="47"/>
      <c r="AN55" s="47"/>
      <c r="AO55" s="47"/>
      <c r="AP55" s="197"/>
      <c r="AQ55" s="197"/>
      <c r="AR55" s="197"/>
      <c r="AS55" s="197"/>
      <c r="AT55" s="197"/>
      <c r="AU55" s="197"/>
      <c r="AV55" s="197"/>
      <c r="AW55" s="197"/>
      <c r="AX55" s="197"/>
      <c r="AY55" s="197"/>
      <c r="AZ55" s="197"/>
      <c r="BA55" s="197"/>
      <c r="BB55" s="197"/>
      <c r="BC55" s="19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198"/>
      <c r="DX55" s="47"/>
      <c r="DY55" s="47"/>
      <c r="DZ55" s="198"/>
      <c r="EA55" s="47"/>
      <c r="EB55" s="47"/>
      <c r="EC55" s="47"/>
      <c r="ED55" s="195"/>
      <c r="EE55" s="195"/>
      <c r="EF55" s="195"/>
      <c r="EG55" s="195"/>
      <c r="EH55" s="195"/>
      <c r="EI55" s="196"/>
      <c r="EJ55" s="201"/>
      <c r="EK55" s="202"/>
      <c r="FA55" s="251">
        <f t="shared" si="4"/>
        <v>9</v>
      </c>
    </row>
    <row r="56" spans="1:157" s="1" customFormat="1" ht="20.149999999999999" customHeight="1" x14ac:dyDescent="0.35">
      <c r="A56" s="137"/>
      <c r="B56" s="47" t="s">
        <v>1248</v>
      </c>
      <c r="C56" s="47" t="s">
        <v>1632</v>
      </c>
      <c r="D56" s="252" t="s">
        <v>56</v>
      </c>
      <c r="E56" s="2" t="s">
        <v>695</v>
      </c>
      <c r="F56" s="2" t="s">
        <v>1629</v>
      </c>
      <c r="G56" s="2" t="s">
        <v>35</v>
      </c>
      <c r="H56" s="328">
        <v>9</v>
      </c>
      <c r="I56" s="197"/>
      <c r="J56" s="197"/>
      <c r="K56" s="197"/>
      <c r="L56" s="197"/>
      <c r="M56" s="197"/>
      <c r="N56" s="194"/>
      <c r="O56" s="197"/>
      <c r="P56" s="197"/>
      <c r="Q56" s="197"/>
      <c r="R56" s="197"/>
      <c r="S56" s="197"/>
      <c r="T56" s="197"/>
      <c r="U56" s="197"/>
      <c r="V56" s="168"/>
      <c r="W56" s="197"/>
      <c r="X56" s="197"/>
      <c r="Y56" s="197"/>
      <c r="Z56" s="197"/>
      <c r="AA56" s="197"/>
      <c r="AB56" s="197"/>
      <c r="AC56" s="197"/>
      <c r="AD56" s="197"/>
      <c r="AE56" s="197"/>
      <c r="AF56" s="194"/>
      <c r="AG56" s="194"/>
      <c r="AI56" s="194"/>
      <c r="AJ56" s="194"/>
      <c r="AK56" s="47"/>
      <c r="AL56" s="47"/>
      <c r="AM56" s="47"/>
      <c r="AN56" s="47"/>
      <c r="AO56" s="47"/>
      <c r="AP56" s="197"/>
      <c r="AQ56" s="197"/>
      <c r="AR56" s="197"/>
      <c r="AS56" s="197"/>
      <c r="AT56" s="197"/>
      <c r="AU56" s="197"/>
      <c r="AV56" s="197"/>
      <c r="AW56" s="197"/>
      <c r="AX56" s="197"/>
      <c r="AY56" s="197"/>
      <c r="AZ56" s="197"/>
      <c r="BA56" s="197"/>
      <c r="BB56" s="197"/>
      <c r="BC56" s="19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198"/>
      <c r="DX56" s="47"/>
      <c r="DY56" s="47"/>
      <c r="DZ56" s="198"/>
      <c r="EA56" s="47"/>
      <c r="EB56" s="47"/>
      <c r="EC56" s="47"/>
      <c r="ED56" s="195"/>
      <c r="EE56" s="195"/>
      <c r="EF56" s="195"/>
      <c r="EG56" s="195"/>
      <c r="EH56" s="195"/>
      <c r="EI56" s="196"/>
      <c r="EJ56" s="201"/>
      <c r="EK56" s="202"/>
      <c r="FA56" s="251">
        <f t="shared" si="4"/>
        <v>9</v>
      </c>
    </row>
    <row r="57" spans="1:157" s="1" customFormat="1" ht="20.149999999999999" customHeight="1" x14ac:dyDescent="0.35">
      <c r="A57" s="137"/>
      <c r="B57" s="47" t="s">
        <v>1249</v>
      </c>
      <c r="C57" s="47" t="s">
        <v>1633</v>
      </c>
      <c r="D57" s="252" t="s">
        <v>56</v>
      </c>
      <c r="E57" s="2" t="s">
        <v>695</v>
      </c>
      <c r="F57" s="2" t="s">
        <v>1629</v>
      </c>
      <c r="G57" s="2" t="s">
        <v>35</v>
      </c>
      <c r="H57" s="57">
        <v>9</v>
      </c>
      <c r="I57" s="197"/>
      <c r="J57" s="197"/>
      <c r="K57" s="197"/>
      <c r="L57" s="197"/>
      <c r="M57" s="197"/>
      <c r="N57" s="194"/>
      <c r="O57" s="197"/>
      <c r="P57" s="197"/>
      <c r="Q57" s="197"/>
      <c r="R57" s="197"/>
      <c r="S57" s="197"/>
      <c r="T57" s="197"/>
      <c r="U57" s="197"/>
      <c r="V57" s="168"/>
      <c r="W57" s="197"/>
      <c r="X57" s="197"/>
      <c r="Y57" s="197"/>
      <c r="Z57" s="197"/>
      <c r="AA57" s="197"/>
      <c r="AB57" s="197"/>
      <c r="AC57" s="197"/>
      <c r="AD57" s="197"/>
      <c r="AE57" s="197"/>
      <c r="AF57" s="194"/>
      <c r="AG57" s="194"/>
      <c r="AI57" s="194"/>
      <c r="AJ57" s="194"/>
      <c r="AK57" s="47"/>
      <c r="AL57" s="47"/>
      <c r="AM57" s="47"/>
      <c r="AN57" s="47"/>
      <c r="AO57" s="47"/>
      <c r="AP57" s="197"/>
      <c r="AQ57" s="197"/>
      <c r="AR57" s="197"/>
      <c r="AS57" s="197"/>
      <c r="AT57" s="197"/>
      <c r="AU57" s="197"/>
      <c r="AV57" s="197"/>
      <c r="AW57" s="197"/>
      <c r="AX57" s="197"/>
      <c r="AY57" s="197"/>
      <c r="AZ57" s="197"/>
      <c r="BA57" s="197"/>
      <c r="BB57" s="197"/>
      <c r="BC57" s="19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198"/>
      <c r="DX57" s="47"/>
      <c r="DY57" s="47"/>
      <c r="DZ57" s="198"/>
      <c r="EA57" s="47"/>
      <c r="EB57" s="47"/>
      <c r="EC57" s="47"/>
      <c r="ED57" s="195"/>
      <c r="EE57" s="195"/>
      <c r="EF57" s="195"/>
      <c r="EG57" s="195"/>
      <c r="EH57" s="195"/>
      <c r="EI57" s="196"/>
      <c r="EJ57" s="201"/>
      <c r="EK57" s="202"/>
      <c r="FA57" s="251">
        <f t="shared" si="4"/>
        <v>9</v>
      </c>
    </row>
    <row r="58" spans="1:157" s="1" customFormat="1" ht="20.149999999999999" customHeight="1" x14ac:dyDescent="0.35">
      <c r="A58" s="137"/>
      <c r="B58" s="47" t="s">
        <v>1250</v>
      </c>
      <c r="C58" s="47" t="s">
        <v>1634</v>
      </c>
      <c r="D58" s="252" t="s">
        <v>56</v>
      </c>
      <c r="E58" s="2" t="s">
        <v>695</v>
      </c>
      <c r="F58" s="2" t="s">
        <v>1629</v>
      </c>
      <c r="G58" s="2" t="s">
        <v>35</v>
      </c>
      <c r="H58" s="57">
        <v>10</v>
      </c>
      <c r="I58" s="197"/>
      <c r="J58" s="197"/>
      <c r="K58" s="197"/>
      <c r="L58" s="197"/>
      <c r="M58" s="197"/>
      <c r="N58" s="194"/>
      <c r="O58" s="197"/>
      <c r="P58" s="197"/>
      <c r="Q58" s="197"/>
      <c r="R58" s="197"/>
      <c r="S58" s="197"/>
      <c r="T58" s="197"/>
      <c r="U58" s="197"/>
      <c r="V58" s="168"/>
      <c r="W58" s="197"/>
      <c r="X58" s="197"/>
      <c r="Y58" s="197"/>
      <c r="Z58" s="197"/>
      <c r="AA58" s="197"/>
      <c r="AB58" s="197"/>
      <c r="AC58" s="197"/>
      <c r="AD58" s="197"/>
      <c r="AE58" s="197"/>
      <c r="AF58" s="194"/>
      <c r="AG58" s="194"/>
      <c r="AI58" s="194"/>
      <c r="AJ58" s="194"/>
      <c r="AK58" s="47"/>
      <c r="AL58" s="47"/>
      <c r="AM58" s="47"/>
      <c r="AN58" s="47"/>
      <c r="AO58" s="47"/>
      <c r="AP58" s="197"/>
      <c r="AQ58" s="197"/>
      <c r="AR58" s="197"/>
      <c r="AS58" s="197"/>
      <c r="AT58" s="197"/>
      <c r="AU58" s="197"/>
      <c r="AV58" s="197"/>
      <c r="AW58" s="197"/>
      <c r="AX58" s="197"/>
      <c r="AY58" s="197"/>
      <c r="AZ58" s="197"/>
      <c r="BA58" s="197"/>
      <c r="BB58" s="197"/>
      <c r="BC58" s="19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198"/>
      <c r="DX58" s="47"/>
      <c r="DY58" s="47"/>
      <c r="DZ58" s="198"/>
      <c r="EA58" s="47"/>
      <c r="EB58" s="47"/>
      <c r="EC58" s="47"/>
      <c r="ED58" s="195"/>
      <c r="EE58" s="195"/>
      <c r="EF58" s="195"/>
      <c r="EG58" s="195"/>
      <c r="EH58" s="195"/>
      <c r="EI58" s="196"/>
      <c r="EJ58" s="201"/>
      <c r="EK58" s="202"/>
      <c r="FA58" s="251">
        <f t="shared" si="4"/>
        <v>10</v>
      </c>
    </row>
    <row r="59" spans="1:157" s="1" customFormat="1" ht="20.149999999999999" customHeight="1" x14ac:dyDescent="0.35">
      <c r="A59" s="137"/>
      <c r="B59" s="380" t="s">
        <v>1282</v>
      </c>
      <c r="C59" s="47"/>
      <c r="D59" s="252"/>
      <c r="E59" s="382" t="s">
        <v>59</v>
      </c>
      <c r="F59" s="2"/>
      <c r="G59" s="382"/>
      <c r="H59" s="57">
        <v>0</v>
      </c>
      <c r="I59" s="197"/>
      <c r="J59" s="197"/>
      <c r="K59" s="197"/>
      <c r="L59" s="197"/>
      <c r="M59" s="197"/>
      <c r="N59" s="194"/>
      <c r="O59" s="197"/>
      <c r="P59" s="197"/>
      <c r="Q59" s="197"/>
      <c r="R59" s="197"/>
      <c r="S59" s="197"/>
      <c r="T59" s="197"/>
      <c r="U59" s="197"/>
      <c r="V59" s="168"/>
      <c r="W59" s="197"/>
      <c r="X59" s="197"/>
      <c r="Y59" s="197"/>
      <c r="Z59" s="197"/>
      <c r="AA59" s="197"/>
      <c r="AB59" s="197"/>
      <c r="AC59" s="197"/>
      <c r="AD59" s="197"/>
      <c r="AE59" s="197"/>
      <c r="AF59" s="194"/>
      <c r="AG59" s="194"/>
      <c r="AI59" s="194"/>
      <c r="AJ59" s="194"/>
      <c r="AK59" s="47"/>
      <c r="AL59" s="47"/>
      <c r="AM59" s="47"/>
      <c r="AN59" s="47"/>
      <c r="AO59" s="47"/>
      <c r="AP59" s="197"/>
      <c r="AQ59" s="197"/>
      <c r="AR59" s="197"/>
      <c r="AS59" s="197"/>
      <c r="AT59" s="197"/>
      <c r="AU59" s="197"/>
      <c r="AV59" s="197"/>
      <c r="AW59" s="197"/>
      <c r="AX59" s="197"/>
      <c r="AY59" s="197"/>
      <c r="AZ59" s="197"/>
      <c r="BA59" s="197"/>
      <c r="BB59" s="197"/>
      <c r="BC59" s="197"/>
      <c r="BD59" s="47"/>
      <c r="BE59" s="47"/>
      <c r="BF59" s="47"/>
      <c r="BG59" s="47"/>
      <c r="BH59" s="47"/>
      <c r="BI59" s="47"/>
      <c r="BJ59" s="47"/>
      <c r="BK59" s="47"/>
      <c r="BL59" s="47"/>
      <c r="BM59" s="47"/>
      <c r="BN59" s="47"/>
      <c r="BO59" s="47"/>
      <c r="BP59" s="47"/>
      <c r="BQ59" s="47"/>
      <c r="BR59" s="47"/>
      <c r="BS59" s="47"/>
      <c r="BT59" s="47"/>
      <c r="BU59" s="47"/>
      <c r="BV59" s="47"/>
      <c r="BW59" s="47"/>
      <c r="BX59" s="47"/>
      <c r="BY59" s="47"/>
      <c r="BZ59" s="47"/>
      <c r="CA59" s="47"/>
      <c r="CB59" s="47"/>
      <c r="CC59" s="47"/>
      <c r="CD59" s="47"/>
      <c r="CE59" s="47"/>
      <c r="CF59" s="47"/>
      <c r="CG59" s="47"/>
      <c r="CH59" s="47"/>
      <c r="CI59" s="47"/>
      <c r="CJ59" s="47"/>
      <c r="CK59" s="47"/>
      <c r="CL59" s="47"/>
      <c r="CM59" s="47"/>
      <c r="CN59" s="47"/>
      <c r="CO59" s="47"/>
      <c r="CP59" s="47"/>
      <c r="CQ59" s="47"/>
      <c r="CR59" s="47"/>
      <c r="CS59" s="47"/>
      <c r="CT59" s="47"/>
      <c r="CU59" s="47"/>
      <c r="CV59" s="47"/>
      <c r="CW59" s="47"/>
      <c r="CX59" s="47"/>
      <c r="CY59" s="47"/>
      <c r="CZ59" s="47"/>
      <c r="DA59" s="47"/>
      <c r="DB59" s="47"/>
      <c r="DC59" s="47"/>
      <c r="DD59" s="47"/>
      <c r="DE59" s="47"/>
      <c r="DF59" s="47"/>
      <c r="DG59" s="47"/>
      <c r="DH59" s="47"/>
      <c r="DI59" s="47"/>
      <c r="DJ59" s="47"/>
      <c r="DK59" s="47"/>
      <c r="DL59" s="47"/>
      <c r="DM59" s="47"/>
      <c r="DN59" s="47"/>
      <c r="DO59" s="47"/>
      <c r="DP59" s="47"/>
      <c r="DQ59" s="47"/>
      <c r="DR59" s="47"/>
      <c r="DS59" s="47"/>
      <c r="DT59" s="47"/>
      <c r="DU59" s="47"/>
      <c r="DV59" s="47"/>
      <c r="DW59" s="198"/>
      <c r="DX59" s="47"/>
      <c r="DY59" s="47"/>
      <c r="DZ59" s="198"/>
      <c r="EA59" s="47"/>
      <c r="EB59" s="47"/>
      <c r="EC59" s="47"/>
      <c r="ED59" s="195"/>
      <c r="EE59" s="195"/>
      <c r="EF59" s="195"/>
      <c r="EG59" s="195"/>
      <c r="EH59" s="195"/>
      <c r="EI59" s="196"/>
      <c r="EJ59" s="201"/>
      <c r="EK59" s="202"/>
      <c r="FA59" s="251">
        <f t="shared" si="4"/>
        <v>0</v>
      </c>
    </row>
    <row r="60" spans="1:157" s="1" customFormat="1" ht="20.149999999999999" customHeight="1" x14ac:dyDescent="0.35">
      <c r="A60" s="137"/>
      <c r="B60" s="47" t="s">
        <v>1440</v>
      </c>
      <c r="C60" s="47" t="s">
        <v>1635</v>
      </c>
      <c r="D60" s="252" t="s">
        <v>638</v>
      </c>
      <c r="E60" s="2" t="s">
        <v>59</v>
      </c>
      <c r="F60" s="2" t="s">
        <v>593</v>
      </c>
      <c r="G60" s="2"/>
      <c r="H60" s="395">
        <v>5.86</v>
      </c>
      <c r="I60" s="197"/>
      <c r="J60" s="197"/>
      <c r="K60" s="197"/>
      <c r="L60" s="197"/>
      <c r="M60" s="197"/>
      <c r="N60" s="194"/>
      <c r="O60" s="197"/>
      <c r="P60" s="197"/>
      <c r="Q60" s="197"/>
      <c r="R60" s="197"/>
      <c r="S60" s="197"/>
      <c r="T60" s="197"/>
      <c r="U60" s="197"/>
      <c r="V60" s="168"/>
      <c r="W60" s="197"/>
      <c r="X60" s="197"/>
      <c r="Y60" s="197"/>
      <c r="Z60" s="197"/>
      <c r="AA60" s="197"/>
      <c r="AB60" s="197"/>
      <c r="AC60" s="197"/>
      <c r="AD60" s="197"/>
      <c r="AE60" s="197"/>
      <c r="AF60" s="194"/>
      <c r="AG60" s="194"/>
      <c r="AI60" s="194"/>
      <c r="AJ60" s="194"/>
      <c r="AK60" s="47"/>
      <c r="AL60" s="47"/>
      <c r="AM60" s="47"/>
      <c r="AN60" s="47"/>
      <c r="AO60" s="47"/>
      <c r="AP60" s="197"/>
      <c r="AQ60" s="197"/>
      <c r="AR60" s="197"/>
      <c r="AS60" s="197"/>
      <c r="AT60" s="197"/>
      <c r="AU60" s="197"/>
      <c r="AV60" s="197"/>
      <c r="AW60" s="197"/>
      <c r="AX60" s="197"/>
      <c r="AY60" s="197"/>
      <c r="AZ60" s="197"/>
      <c r="BA60" s="197"/>
      <c r="BB60" s="197"/>
      <c r="BC60" s="197"/>
      <c r="BD60" s="47"/>
      <c r="BE60" s="47"/>
      <c r="BF60" s="47"/>
      <c r="BG60" s="47"/>
      <c r="BH60" s="47"/>
      <c r="BI60" s="47"/>
      <c r="BJ60" s="47"/>
      <c r="BK60" s="47"/>
      <c r="BL60" s="47"/>
      <c r="BM60" s="47"/>
      <c r="BN60" s="47"/>
      <c r="BO60" s="47"/>
      <c r="BP60" s="47"/>
      <c r="BQ60" s="47"/>
      <c r="BR60" s="47"/>
      <c r="BS60" s="47"/>
      <c r="BT60" s="47"/>
      <c r="BU60" s="47"/>
      <c r="BV60" s="47"/>
      <c r="BW60" s="47"/>
      <c r="BX60" s="47"/>
      <c r="BY60" s="47"/>
      <c r="BZ60" s="47"/>
      <c r="CA60" s="47"/>
      <c r="CB60" s="47"/>
      <c r="CC60" s="47"/>
      <c r="CD60" s="47"/>
      <c r="CE60" s="47"/>
      <c r="CF60" s="47"/>
      <c r="CG60" s="47"/>
      <c r="CH60" s="47"/>
      <c r="CI60" s="47"/>
      <c r="CJ60" s="47"/>
      <c r="CK60" s="47"/>
      <c r="CL60" s="47"/>
      <c r="CM60" s="47"/>
      <c r="CN60" s="47"/>
      <c r="CO60" s="47"/>
      <c r="CP60" s="47"/>
      <c r="CQ60" s="47"/>
      <c r="CR60" s="47"/>
      <c r="CS60" s="47"/>
      <c r="CT60" s="47"/>
      <c r="CU60" s="47"/>
      <c r="CV60" s="47"/>
      <c r="CW60" s="47"/>
      <c r="CX60" s="47"/>
      <c r="CY60" s="47"/>
      <c r="CZ60" s="47"/>
      <c r="DA60" s="47"/>
      <c r="DB60" s="47"/>
      <c r="DC60" s="47"/>
      <c r="DD60" s="47"/>
      <c r="DE60" s="47"/>
      <c r="DF60" s="47"/>
      <c r="DG60" s="47"/>
      <c r="DH60" s="47"/>
      <c r="DI60" s="47"/>
      <c r="DJ60" s="47"/>
      <c r="DK60" s="47"/>
      <c r="DL60" s="47"/>
      <c r="DM60" s="47"/>
      <c r="DN60" s="47"/>
      <c r="DO60" s="47"/>
      <c r="DP60" s="47"/>
      <c r="DQ60" s="47"/>
      <c r="DR60" s="47"/>
      <c r="DS60" s="47"/>
      <c r="DT60" s="47"/>
      <c r="DU60" s="47"/>
      <c r="DV60" s="47"/>
      <c r="DW60" s="198"/>
      <c r="DX60" s="47"/>
      <c r="DY60" s="47"/>
      <c r="DZ60" s="198"/>
      <c r="EA60" s="47"/>
      <c r="EB60" s="47"/>
      <c r="EC60" s="47"/>
      <c r="ED60" s="195"/>
      <c r="EE60" s="195"/>
      <c r="EF60" s="195"/>
      <c r="EG60" s="195"/>
      <c r="EH60" s="195"/>
      <c r="EI60" s="196"/>
      <c r="EJ60" s="201"/>
      <c r="EK60" s="202"/>
      <c r="FA60" s="251">
        <f t="shared" si="4"/>
        <v>5.86</v>
      </c>
    </row>
    <row r="61" spans="1:157" s="1" customFormat="1" ht="20.149999999999999" customHeight="1" x14ac:dyDescent="0.35">
      <c r="A61" s="137"/>
      <c r="B61" s="373" t="s">
        <v>1451</v>
      </c>
      <c r="C61" s="373" t="s">
        <v>1636</v>
      </c>
      <c r="D61" s="386" t="s">
        <v>638</v>
      </c>
      <c r="E61" s="374" t="s">
        <v>33</v>
      </c>
      <c r="F61" s="374" t="s">
        <v>1452</v>
      </c>
      <c r="G61" s="374" t="s">
        <v>82</v>
      </c>
      <c r="H61" s="329">
        <v>2.4</v>
      </c>
      <c r="I61" s="197"/>
      <c r="J61" s="197"/>
      <c r="K61" s="197"/>
      <c r="L61" s="197"/>
      <c r="M61" s="197"/>
      <c r="N61" s="194"/>
      <c r="O61" s="197"/>
      <c r="P61" s="197"/>
      <c r="Q61" s="197"/>
      <c r="R61" s="197"/>
      <c r="S61" s="197"/>
      <c r="T61" s="197"/>
      <c r="U61" s="197"/>
      <c r="V61" s="168"/>
      <c r="W61" s="197"/>
      <c r="X61" s="197"/>
      <c r="Y61" s="197"/>
      <c r="Z61" s="197"/>
      <c r="AA61" s="197"/>
      <c r="AB61" s="197"/>
      <c r="AC61" s="197"/>
      <c r="AD61" s="197"/>
      <c r="AE61" s="197"/>
      <c r="AF61" s="194"/>
      <c r="AG61" s="194"/>
      <c r="AI61" s="194"/>
      <c r="AJ61" s="194"/>
      <c r="AK61" s="47"/>
      <c r="AL61" s="47"/>
      <c r="AM61" s="47"/>
      <c r="AN61" s="47"/>
      <c r="AO61" s="47"/>
      <c r="AP61" s="197"/>
      <c r="AQ61" s="197"/>
      <c r="AR61" s="197"/>
      <c r="AS61" s="197"/>
      <c r="AT61" s="197"/>
      <c r="AU61" s="197"/>
      <c r="AV61" s="197"/>
      <c r="AW61" s="197"/>
      <c r="AX61" s="197"/>
      <c r="AY61" s="197"/>
      <c r="AZ61" s="197"/>
      <c r="BA61" s="197"/>
      <c r="BB61" s="197"/>
      <c r="BC61" s="197"/>
      <c r="BD61" s="47"/>
      <c r="BE61" s="47"/>
      <c r="BF61" s="47"/>
      <c r="BG61" s="47"/>
      <c r="BH61" s="47"/>
      <c r="BI61" s="47"/>
      <c r="BJ61" s="47"/>
      <c r="BK61" s="47"/>
      <c r="BL61" s="47"/>
      <c r="BM61" s="47"/>
      <c r="BN61" s="47"/>
      <c r="BO61" s="47"/>
      <c r="BP61" s="47"/>
      <c r="BQ61" s="47"/>
      <c r="BR61" s="47"/>
      <c r="BS61" s="47"/>
      <c r="BT61" s="47"/>
      <c r="BU61" s="47"/>
      <c r="BV61" s="47"/>
      <c r="BW61" s="47"/>
      <c r="BX61" s="47"/>
      <c r="BY61" s="47"/>
      <c r="BZ61" s="47"/>
      <c r="CA61" s="47"/>
      <c r="CB61" s="47"/>
      <c r="CC61" s="47"/>
      <c r="CD61" s="47"/>
      <c r="CE61" s="47"/>
      <c r="CF61" s="47"/>
      <c r="CG61" s="47"/>
      <c r="CH61" s="47"/>
      <c r="CI61" s="47"/>
      <c r="CJ61" s="47"/>
      <c r="CK61" s="47"/>
      <c r="CL61" s="47"/>
      <c r="CM61" s="47"/>
      <c r="CN61" s="47"/>
      <c r="CO61" s="47"/>
      <c r="CP61" s="47"/>
      <c r="CQ61" s="47"/>
      <c r="CR61" s="47"/>
      <c r="CS61" s="47"/>
      <c r="CT61" s="47"/>
      <c r="CU61" s="47"/>
      <c r="CV61" s="47"/>
      <c r="CW61" s="47"/>
      <c r="CX61" s="47"/>
      <c r="CY61" s="47"/>
      <c r="CZ61" s="47"/>
      <c r="DA61" s="47"/>
      <c r="DB61" s="47"/>
      <c r="DC61" s="47"/>
      <c r="DD61" s="47"/>
      <c r="DE61" s="47"/>
      <c r="DF61" s="47"/>
      <c r="DG61" s="47"/>
      <c r="DH61" s="47"/>
      <c r="DI61" s="47"/>
      <c r="DJ61" s="47"/>
      <c r="DK61" s="47"/>
      <c r="DL61" s="47"/>
      <c r="DM61" s="47"/>
      <c r="DN61" s="47"/>
      <c r="DO61" s="47"/>
      <c r="DP61" s="47"/>
      <c r="DQ61" s="47"/>
      <c r="DR61" s="47"/>
      <c r="DS61" s="47"/>
      <c r="DT61" s="47"/>
      <c r="DU61" s="47"/>
      <c r="DV61" s="47"/>
      <c r="DW61" s="198"/>
      <c r="DX61" s="47"/>
      <c r="DY61" s="47"/>
      <c r="DZ61" s="198"/>
      <c r="EA61" s="47"/>
      <c r="EB61" s="47"/>
      <c r="EC61" s="47"/>
      <c r="ED61" s="195"/>
      <c r="EE61" s="195"/>
      <c r="EF61" s="195"/>
      <c r="EG61" s="195"/>
      <c r="EH61" s="195"/>
      <c r="EI61" s="196"/>
      <c r="EJ61" s="201"/>
      <c r="EK61" s="202"/>
      <c r="FA61" s="251">
        <f t="shared" si="4"/>
        <v>2.4</v>
      </c>
    </row>
    <row r="62" spans="1:157" s="1" customFormat="1" ht="20.149999999999999" customHeight="1" x14ac:dyDescent="0.35">
      <c r="A62" s="137"/>
      <c r="B62" s="47" t="s">
        <v>1453</v>
      </c>
      <c r="C62" s="47" t="s">
        <v>1637</v>
      </c>
      <c r="D62" s="252" t="s">
        <v>638</v>
      </c>
      <c r="E62" s="2" t="s">
        <v>33</v>
      </c>
      <c r="F62" s="2" t="s">
        <v>1452</v>
      </c>
      <c r="G62" s="2" t="s">
        <v>82</v>
      </c>
      <c r="H62" s="328">
        <v>2.4</v>
      </c>
      <c r="I62" s="197"/>
      <c r="J62" s="197"/>
      <c r="K62" s="197"/>
      <c r="L62" s="197"/>
      <c r="M62" s="197"/>
      <c r="N62" s="194"/>
      <c r="O62" s="197"/>
      <c r="P62" s="197"/>
      <c r="Q62" s="197"/>
      <c r="R62" s="197"/>
      <c r="S62" s="197"/>
      <c r="T62" s="197"/>
      <c r="U62" s="197"/>
      <c r="V62" s="168"/>
      <c r="W62" s="197"/>
      <c r="X62" s="197"/>
      <c r="Y62" s="197"/>
      <c r="Z62" s="197"/>
      <c r="AA62" s="197"/>
      <c r="AB62" s="197"/>
      <c r="AC62" s="197"/>
      <c r="AD62" s="197"/>
      <c r="AE62" s="197"/>
      <c r="AF62" s="194"/>
      <c r="AG62" s="194"/>
      <c r="AI62" s="194"/>
      <c r="AJ62" s="194"/>
      <c r="AK62" s="47"/>
      <c r="AL62" s="47"/>
      <c r="AM62" s="47"/>
      <c r="AN62" s="47"/>
      <c r="AO62" s="47"/>
      <c r="AP62" s="197"/>
      <c r="AQ62" s="197"/>
      <c r="AR62" s="197"/>
      <c r="AS62" s="197"/>
      <c r="AT62" s="197"/>
      <c r="AU62" s="197"/>
      <c r="AV62" s="197"/>
      <c r="AW62" s="197"/>
      <c r="AX62" s="197"/>
      <c r="AY62" s="197"/>
      <c r="AZ62" s="197"/>
      <c r="BA62" s="197"/>
      <c r="BB62" s="197"/>
      <c r="BC62" s="197"/>
      <c r="BD62" s="47"/>
      <c r="BE62" s="47"/>
      <c r="BF62" s="47"/>
      <c r="BG62" s="47"/>
      <c r="BH62" s="47"/>
      <c r="BI62" s="47"/>
      <c r="BJ62" s="47"/>
      <c r="BK62" s="47"/>
      <c r="BL62" s="47"/>
      <c r="BM62" s="47"/>
      <c r="BN62" s="47"/>
      <c r="BO62" s="47"/>
      <c r="BP62" s="47"/>
      <c r="BQ62" s="47"/>
      <c r="BR62" s="47"/>
      <c r="BS62" s="47"/>
      <c r="BT62" s="47"/>
      <c r="BU62" s="47"/>
      <c r="BV62" s="47"/>
      <c r="BW62" s="47"/>
      <c r="BX62" s="47"/>
      <c r="BY62" s="47"/>
      <c r="BZ62" s="47"/>
      <c r="CA62" s="47"/>
      <c r="CB62" s="47"/>
      <c r="CC62" s="47"/>
      <c r="CD62" s="47"/>
      <c r="CE62" s="47"/>
      <c r="CF62" s="47"/>
      <c r="CG62" s="47"/>
      <c r="CH62" s="47"/>
      <c r="CI62" s="47"/>
      <c r="CJ62" s="47"/>
      <c r="CK62" s="47"/>
      <c r="CL62" s="47"/>
      <c r="CM62" s="47"/>
      <c r="CN62" s="47"/>
      <c r="CO62" s="47"/>
      <c r="CP62" s="47"/>
      <c r="CQ62" s="47"/>
      <c r="CR62" s="47"/>
      <c r="CS62" s="47"/>
      <c r="CT62" s="47"/>
      <c r="CU62" s="47"/>
      <c r="CV62" s="47"/>
      <c r="CW62" s="47"/>
      <c r="CX62" s="47"/>
      <c r="CY62" s="47"/>
      <c r="CZ62" s="47"/>
      <c r="DA62" s="47"/>
      <c r="DB62" s="47"/>
      <c r="DC62" s="47"/>
      <c r="DD62" s="47"/>
      <c r="DE62" s="47"/>
      <c r="DF62" s="47"/>
      <c r="DG62" s="47"/>
      <c r="DH62" s="47"/>
      <c r="DI62" s="47"/>
      <c r="DJ62" s="47"/>
      <c r="DK62" s="47"/>
      <c r="DL62" s="47"/>
      <c r="DM62" s="47"/>
      <c r="DN62" s="47"/>
      <c r="DO62" s="47"/>
      <c r="DP62" s="47"/>
      <c r="DQ62" s="47"/>
      <c r="DR62" s="47"/>
      <c r="DS62" s="47"/>
      <c r="DT62" s="47"/>
      <c r="DU62" s="47"/>
      <c r="DV62" s="47"/>
      <c r="DW62" s="198"/>
      <c r="DX62" s="47"/>
      <c r="DY62" s="47"/>
      <c r="DZ62" s="198"/>
      <c r="EA62" s="47"/>
      <c r="EB62" s="47"/>
      <c r="EC62" s="47"/>
      <c r="ED62" s="195"/>
      <c r="EE62" s="195"/>
      <c r="EF62" s="195"/>
      <c r="EG62" s="195"/>
      <c r="EH62" s="195"/>
      <c r="EI62" s="196"/>
      <c r="EJ62" s="201"/>
      <c r="EK62" s="202"/>
      <c r="FA62" s="251">
        <f t="shared" si="4"/>
        <v>2.4</v>
      </c>
    </row>
    <row r="63" spans="1:157" s="1" customFormat="1" ht="20.149999999999999" customHeight="1" x14ac:dyDescent="0.35">
      <c r="A63" s="137"/>
      <c r="B63" s="47" t="s">
        <v>1457</v>
      </c>
      <c r="C63" s="47" t="s">
        <v>1638</v>
      </c>
      <c r="D63" s="2" t="s">
        <v>638</v>
      </c>
      <c r="E63" s="48" t="s">
        <v>745</v>
      </c>
      <c r="F63" s="2" t="s">
        <v>1359</v>
      </c>
      <c r="G63" s="48" t="s">
        <v>37</v>
      </c>
      <c r="H63" s="328">
        <v>1.8</v>
      </c>
      <c r="I63" s="197"/>
      <c r="J63" s="197"/>
      <c r="K63" s="197"/>
      <c r="L63" s="197"/>
      <c r="M63" s="197"/>
      <c r="N63" s="194"/>
      <c r="O63" s="197"/>
      <c r="P63" s="197"/>
      <c r="Q63" s="197"/>
      <c r="R63" s="197"/>
      <c r="S63" s="197"/>
      <c r="T63" s="197"/>
      <c r="U63" s="197"/>
      <c r="V63" s="168"/>
      <c r="W63" s="197"/>
      <c r="X63" s="197"/>
      <c r="Y63" s="197"/>
      <c r="Z63" s="197"/>
      <c r="AA63" s="197"/>
      <c r="AB63" s="197"/>
      <c r="AC63" s="197"/>
      <c r="AD63" s="197"/>
      <c r="AE63" s="197"/>
      <c r="AF63" s="194"/>
      <c r="AG63" s="194"/>
      <c r="AI63" s="194"/>
      <c r="AJ63" s="194"/>
      <c r="AK63" s="47"/>
      <c r="AL63" s="47"/>
      <c r="AM63" s="47"/>
      <c r="AN63" s="47"/>
      <c r="AO63" s="47"/>
      <c r="AP63" s="197"/>
      <c r="AQ63" s="197"/>
      <c r="AR63" s="197"/>
      <c r="AS63" s="197"/>
      <c r="AT63" s="197"/>
      <c r="AU63" s="197"/>
      <c r="AV63" s="197"/>
      <c r="AW63" s="197"/>
      <c r="AX63" s="197"/>
      <c r="AY63" s="197">
        <v>2.2999999999999998</v>
      </c>
      <c r="AZ63" s="197"/>
      <c r="BA63" s="197"/>
      <c r="BB63" s="197"/>
      <c r="BC63" s="197"/>
      <c r="BD63" s="47"/>
      <c r="BE63" s="47"/>
      <c r="BF63" s="47"/>
      <c r="BG63" s="47"/>
      <c r="BH63" s="47"/>
      <c r="BI63" s="47"/>
      <c r="BJ63" s="47"/>
      <c r="BK63" s="47"/>
      <c r="BL63" s="47"/>
      <c r="BM63" s="47"/>
      <c r="BN63" s="47"/>
      <c r="BO63" s="47"/>
      <c r="BP63" s="47"/>
      <c r="BQ63" s="47"/>
      <c r="BR63" s="47"/>
      <c r="BS63" s="47"/>
      <c r="BT63" s="47"/>
      <c r="BU63" s="47"/>
      <c r="BV63" s="47"/>
      <c r="BW63" s="47"/>
      <c r="BX63" s="47">
        <v>2.2999999999999998</v>
      </c>
      <c r="BY63" s="47"/>
      <c r="BZ63" s="47"/>
      <c r="CA63" s="47"/>
      <c r="CB63" s="47"/>
      <c r="CC63" s="47"/>
      <c r="CD63" s="47"/>
      <c r="CE63" s="47"/>
      <c r="CF63" s="47"/>
      <c r="CG63" s="47"/>
      <c r="CH63" s="47"/>
      <c r="CI63" s="47"/>
      <c r="CJ63" s="47"/>
      <c r="CK63" s="47"/>
      <c r="CL63" s="47">
        <v>2.2999999999999998</v>
      </c>
      <c r="CM63" s="47"/>
      <c r="CN63" s="47"/>
      <c r="CO63" s="47"/>
      <c r="CP63" s="47"/>
      <c r="CQ63" s="47"/>
      <c r="CR63" s="47"/>
      <c r="CS63" s="47"/>
      <c r="CT63" s="47"/>
      <c r="CU63" s="47"/>
      <c r="CV63" s="47"/>
      <c r="CW63" s="47"/>
      <c r="CX63" s="47"/>
      <c r="CY63" s="47"/>
      <c r="CZ63" s="47"/>
      <c r="DA63" s="47"/>
      <c r="DB63" s="47"/>
      <c r="DC63" s="47"/>
      <c r="DD63" s="47"/>
      <c r="DE63" s="47"/>
      <c r="DF63" s="47"/>
      <c r="DG63" s="47"/>
      <c r="DH63" s="47"/>
      <c r="DI63" s="47"/>
      <c r="DJ63" s="47"/>
      <c r="DK63" s="47"/>
      <c r="DL63" s="47"/>
      <c r="DM63" s="47"/>
      <c r="DN63" s="47"/>
      <c r="DO63" s="47"/>
      <c r="DP63" s="47"/>
      <c r="DQ63" s="47"/>
      <c r="DR63" s="47"/>
      <c r="DS63" s="47"/>
      <c r="DT63" s="47"/>
      <c r="DU63" s="47"/>
      <c r="DV63" s="47"/>
      <c r="DW63" s="198"/>
      <c r="DX63" s="47"/>
      <c r="DY63" s="47"/>
      <c r="DZ63" s="198"/>
      <c r="EA63" s="47"/>
      <c r="EB63" s="47"/>
      <c r="EC63" s="47"/>
      <c r="ED63" s="195"/>
      <c r="EE63" s="195"/>
      <c r="EF63" s="195"/>
      <c r="EG63" s="195"/>
      <c r="EH63" s="195"/>
      <c r="EI63" s="196"/>
      <c r="EJ63" s="201"/>
      <c r="EK63" s="202"/>
      <c r="FA63" s="251">
        <f t="shared" si="4"/>
        <v>1.8</v>
      </c>
    </row>
    <row r="64" spans="1:157" s="1" customFormat="1" ht="20.149999999999999" customHeight="1" x14ac:dyDescent="0.35">
      <c r="A64" s="137"/>
      <c r="B64" s="47" t="s">
        <v>1478</v>
      </c>
      <c r="C64" s="47" t="s">
        <v>1639</v>
      </c>
      <c r="D64" s="2" t="s">
        <v>638</v>
      </c>
      <c r="E64" s="48" t="s">
        <v>1479</v>
      </c>
      <c r="F64" s="2" t="s">
        <v>65</v>
      </c>
      <c r="G64" s="48" t="s">
        <v>82</v>
      </c>
      <c r="H64" s="328">
        <v>6</v>
      </c>
      <c r="I64" s="197"/>
      <c r="J64" s="197"/>
      <c r="K64" s="197"/>
      <c r="L64" s="197"/>
      <c r="M64" s="197"/>
      <c r="N64" s="194"/>
      <c r="O64" s="197"/>
      <c r="P64" s="197"/>
      <c r="Q64" s="197"/>
      <c r="R64" s="197"/>
      <c r="S64" s="197">
        <v>8.5</v>
      </c>
      <c r="T64" s="197"/>
      <c r="U64" s="197"/>
      <c r="V64" s="168"/>
      <c r="W64" s="197"/>
      <c r="X64" s="197"/>
      <c r="Y64" s="197"/>
      <c r="Z64" s="197"/>
      <c r="AA64" s="197"/>
      <c r="AB64" s="197"/>
      <c r="AC64" s="197"/>
      <c r="AD64" s="197"/>
      <c r="AE64" s="197"/>
      <c r="AF64" s="194"/>
      <c r="AG64" s="194"/>
      <c r="AI64" s="194"/>
      <c r="AJ64" s="194"/>
      <c r="AK64" s="47"/>
      <c r="AL64" s="47"/>
      <c r="AM64" s="47"/>
      <c r="AN64" s="47"/>
      <c r="AO64" s="47"/>
      <c r="AP64" s="197"/>
      <c r="AQ64" s="197"/>
      <c r="AR64" s="197"/>
      <c r="AS64" s="197"/>
      <c r="AT64" s="197"/>
      <c r="AU64" s="197"/>
      <c r="AV64" s="197"/>
      <c r="AW64" s="197"/>
      <c r="AX64" s="197"/>
      <c r="AY64" s="197"/>
      <c r="AZ64" s="197"/>
      <c r="BA64" s="197"/>
      <c r="BB64" s="197"/>
      <c r="BC64" s="197"/>
      <c r="BD64" s="47"/>
      <c r="BE64" s="47"/>
      <c r="BF64" s="47"/>
      <c r="BG64" s="47"/>
      <c r="BH64" s="47"/>
      <c r="BI64" s="47"/>
      <c r="BJ64" s="47"/>
      <c r="BK64" s="47"/>
      <c r="BL64" s="47"/>
      <c r="BM64" s="47"/>
      <c r="BN64" s="47"/>
      <c r="BO64" s="47"/>
      <c r="BP64" s="47"/>
      <c r="BQ64" s="47"/>
      <c r="BR64" s="47"/>
      <c r="BS64" s="47"/>
      <c r="BT64" s="47"/>
      <c r="BU64" s="47"/>
      <c r="BV64" s="47"/>
      <c r="BW64" s="47"/>
      <c r="BX64" s="47"/>
      <c r="BY64" s="47"/>
      <c r="BZ64" s="47"/>
      <c r="CA64" s="47"/>
      <c r="CB64" s="47"/>
      <c r="CC64" s="47"/>
      <c r="CD64" s="47"/>
      <c r="CE64" s="47"/>
      <c r="CF64" s="47"/>
      <c r="CG64" s="47"/>
      <c r="CH64" s="47"/>
      <c r="CI64" s="47"/>
      <c r="CJ64" s="47"/>
      <c r="CK64" s="47"/>
      <c r="CL64" s="47"/>
      <c r="CM64" s="47"/>
      <c r="CN64" s="47"/>
      <c r="CO64" s="47"/>
      <c r="CP64" s="47"/>
      <c r="CQ64" s="47"/>
      <c r="CR64" s="47"/>
      <c r="CS64" s="47"/>
      <c r="CT64" s="47"/>
      <c r="CU64" s="47"/>
      <c r="CV64" s="47"/>
      <c r="CW64" s="47"/>
      <c r="CX64" s="47"/>
      <c r="CY64" s="47"/>
      <c r="CZ64" s="47"/>
      <c r="DA64" s="47"/>
      <c r="DB64" s="47"/>
      <c r="DC64" s="47"/>
      <c r="DD64" s="47"/>
      <c r="DE64" s="47"/>
      <c r="DF64" s="47"/>
      <c r="DG64" s="47"/>
      <c r="DH64" s="47"/>
      <c r="DI64" s="47"/>
      <c r="DJ64" s="47"/>
      <c r="DK64" s="47"/>
      <c r="DL64" s="47"/>
      <c r="DM64" s="47"/>
      <c r="DN64" s="47"/>
      <c r="DO64" s="47"/>
      <c r="DP64" s="47"/>
      <c r="DQ64" s="47"/>
      <c r="DR64" s="47"/>
      <c r="DS64" s="47"/>
      <c r="DT64" s="47"/>
      <c r="DU64" s="47"/>
      <c r="DV64" s="47"/>
      <c r="DW64" s="198"/>
      <c r="DX64" s="47"/>
      <c r="DY64" s="47"/>
      <c r="DZ64" s="198"/>
      <c r="EA64" s="47"/>
      <c r="EB64" s="47"/>
      <c r="EC64" s="47"/>
      <c r="ED64" s="195"/>
      <c r="EE64" s="195"/>
      <c r="EF64" s="195"/>
      <c r="EG64" s="195"/>
      <c r="EH64" s="195"/>
      <c r="EI64" s="196"/>
      <c r="EJ64" s="201"/>
      <c r="EK64" s="202"/>
      <c r="FA64" s="251">
        <f>H64</f>
        <v>6</v>
      </c>
    </row>
    <row r="65" spans="1:157" s="1" customFormat="1" ht="20.149999999999999" customHeight="1" x14ac:dyDescent="0.35">
      <c r="A65" s="137"/>
      <c r="B65" s="47" t="s">
        <v>1640</v>
      </c>
      <c r="C65" s="47" t="s">
        <v>1641</v>
      </c>
      <c r="D65" s="2" t="s">
        <v>770</v>
      </c>
      <c r="E65" s="48" t="s">
        <v>59</v>
      </c>
      <c r="F65" s="2" t="s">
        <v>65</v>
      </c>
      <c r="G65" s="48" t="s">
        <v>37</v>
      </c>
      <c r="H65" s="328">
        <v>1.93</v>
      </c>
      <c r="I65" s="197"/>
      <c r="J65" s="197"/>
      <c r="K65" s="197"/>
      <c r="L65" s="197"/>
      <c r="M65" s="197"/>
      <c r="N65" s="194"/>
      <c r="O65" s="197"/>
      <c r="P65" s="197"/>
      <c r="Q65" s="197"/>
      <c r="R65" s="197"/>
      <c r="S65" s="197"/>
      <c r="T65" s="197"/>
      <c r="U65" s="197"/>
      <c r="V65" s="168"/>
      <c r="W65" s="197"/>
      <c r="X65" s="197"/>
      <c r="Y65" s="197"/>
      <c r="Z65" s="197"/>
      <c r="AA65" s="197"/>
      <c r="AB65" s="197"/>
      <c r="AC65" s="197"/>
      <c r="AD65" s="197"/>
      <c r="AE65" s="197"/>
      <c r="AF65" s="194"/>
      <c r="AG65" s="194"/>
      <c r="AI65" s="194"/>
      <c r="AJ65" s="194"/>
      <c r="AK65" s="47"/>
      <c r="AL65" s="47"/>
      <c r="AM65" s="47"/>
      <c r="AN65" s="47"/>
      <c r="AO65" s="4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47"/>
      <c r="BE65" s="47"/>
      <c r="BF65" s="47"/>
      <c r="BG65" s="47"/>
      <c r="BH65" s="47"/>
      <c r="BI65" s="47"/>
      <c r="BJ65" s="47"/>
      <c r="BK65" s="47"/>
      <c r="BL65" s="47"/>
      <c r="BM65" s="47"/>
      <c r="BN65" s="47"/>
      <c r="BO65" s="47"/>
      <c r="BP65" s="47"/>
      <c r="BQ65" s="47"/>
      <c r="BR65" s="47"/>
      <c r="BS65" s="47"/>
      <c r="BT65" s="47"/>
      <c r="BU65" s="47"/>
      <c r="BV65" s="47"/>
      <c r="BW65" s="47"/>
      <c r="BX65" s="47"/>
      <c r="BY65" s="47"/>
      <c r="BZ65" s="47"/>
      <c r="CA65" s="47"/>
      <c r="CB65" s="47"/>
      <c r="CC65" s="47"/>
      <c r="CD65" s="47"/>
      <c r="CE65" s="47"/>
      <c r="CF65" s="47"/>
      <c r="CG65" s="47"/>
      <c r="CH65" s="47"/>
      <c r="CI65" s="47"/>
      <c r="CJ65" s="47"/>
      <c r="CK65" s="47"/>
      <c r="CL65" s="47"/>
      <c r="CM65" s="47"/>
      <c r="CN65" s="47"/>
      <c r="CO65" s="47"/>
      <c r="CP65" s="47"/>
      <c r="CQ65" s="47"/>
      <c r="CR65" s="47"/>
      <c r="CS65" s="47"/>
      <c r="CT65" s="47"/>
      <c r="CU65" s="47"/>
      <c r="CV65" s="47"/>
      <c r="CW65" s="47"/>
      <c r="CX65" s="47"/>
      <c r="CY65" s="47"/>
      <c r="CZ65" s="47"/>
      <c r="DA65" s="47"/>
      <c r="DB65" s="47"/>
      <c r="DC65" s="47"/>
      <c r="DD65" s="47"/>
      <c r="DE65" s="47"/>
      <c r="DF65" s="47"/>
      <c r="DG65" s="47"/>
      <c r="DH65" s="47"/>
      <c r="DI65" s="47"/>
      <c r="DJ65" s="47"/>
      <c r="DK65" s="47"/>
      <c r="DL65" s="47"/>
      <c r="DM65" s="47"/>
      <c r="DN65" s="47"/>
      <c r="DO65" s="47"/>
      <c r="DP65" s="47"/>
      <c r="DQ65" s="47"/>
      <c r="DR65" s="47"/>
      <c r="DS65" s="47"/>
      <c r="DT65" s="47"/>
      <c r="DU65" s="47"/>
      <c r="DV65" s="47"/>
      <c r="DW65" s="198"/>
      <c r="DX65" s="47"/>
      <c r="DY65" s="47"/>
      <c r="DZ65" s="198"/>
      <c r="EA65" s="47"/>
      <c r="EB65" s="47"/>
      <c r="EC65" s="47"/>
      <c r="ED65" s="195"/>
      <c r="EE65" s="195"/>
      <c r="EF65" s="195"/>
      <c r="EG65" s="195"/>
      <c r="EH65" s="195"/>
      <c r="EI65" s="196"/>
      <c r="EJ65" s="201"/>
      <c r="EK65" s="202"/>
      <c r="FA65" s="251"/>
    </row>
    <row r="66" spans="1:157" s="1" customFormat="1" ht="20.149999999999999" customHeight="1" x14ac:dyDescent="0.35">
      <c r="A66" s="137"/>
      <c r="B66" s="47" t="s">
        <v>1746</v>
      </c>
      <c r="C66" s="47" t="s">
        <v>1748</v>
      </c>
      <c r="D66" s="2" t="s">
        <v>33</v>
      </c>
      <c r="E66" s="48" t="s">
        <v>59</v>
      </c>
      <c r="F66" s="2" t="s">
        <v>65</v>
      </c>
      <c r="G66" s="48" t="s">
        <v>82</v>
      </c>
      <c r="H66" s="328">
        <f>((11/1000*500)+(12/6000*500))/6+0.35</f>
        <v>1.4333333333333331</v>
      </c>
      <c r="I66" s="197"/>
      <c r="J66" s="197"/>
      <c r="K66" s="197"/>
      <c r="L66" s="197"/>
      <c r="M66" s="197"/>
      <c r="N66" s="194"/>
      <c r="O66" s="197"/>
      <c r="P66" s="197"/>
      <c r="Q66" s="197"/>
      <c r="R66" s="197"/>
      <c r="S66" s="197"/>
      <c r="T66" s="197"/>
      <c r="U66" s="197"/>
      <c r="V66" s="168"/>
      <c r="W66" s="197"/>
      <c r="X66" s="197"/>
      <c r="Y66" s="197"/>
      <c r="Z66" s="197"/>
      <c r="AA66" s="197"/>
      <c r="AB66" s="197"/>
      <c r="AC66" s="197"/>
      <c r="AD66" s="197"/>
      <c r="AE66" s="197"/>
      <c r="AF66" s="194"/>
      <c r="AG66" s="194"/>
      <c r="AI66" s="194"/>
      <c r="AJ66" s="194"/>
      <c r="AK66" s="47"/>
      <c r="AL66" s="47"/>
      <c r="AM66" s="47"/>
      <c r="AN66" s="47"/>
      <c r="AO66" s="47"/>
      <c r="AP66" s="197"/>
      <c r="AQ66" s="197"/>
      <c r="AR66" s="197"/>
      <c r="AS66" s="197"/>
      <c r="AT66" s="197"/>
      <c r="AU66" s="197"/>
      <c r="AV66" s="197"/>
      <c r="AW66" s="197"/>
      <c r="AX66" s="197"/>
      <c r="AY66" s="197"/>
      <c r="AZ66" s="197"/>
      <c r="BA66" s="197"/>
      <c r="BB66" s="197"/>
      <c r="BC66" s="197"/>
      <c r="BD66" s="47"/>
      <c r="BE66" s="47"/>
      <c r="BF66" s="47"/>
      <c r="BG66" s="47"/>
      <c r="BH66" s="47"/>
      <c r="BI66" s="47"/>
      <c r="BJ66" s="47"/>
      <c r="BK66" s="47"/>
      <c r="BL66" s="47"/>
      <c r="BM66" s="47"/>
      <c r="BN66" s="47"/>
      <c r="BO66" s="47"/>
      <c r="BP66" s="47"/>
      <c r="BQ66" s="47"/>
      <c r="BR66" s="47"/>
      <c r="BS66" s="47"/>
      <c r="BT66" s="47"/>
      <c r="BU66" s="47"/>
      <c r="BV66" s="47"/>
      <c r="BW66" s="47"/>
      <c r="BX66" s="47"/>
      <c r="BY66" s="47"/>
      <c r="BZ66" s="47"/>
      <c r="CA66" s="47"/>
      <c r="CB66" s="47"/>
      <c r="CC66" s="47"/>
      <c r="CD66" s="47"/>
      <c r="CE66" s="47"/>
      <c r="CF66" s="47"/>
      <c r="CG66" s="47"/>
      <c r="CH66" s="47"/>
      <c r="CI66" s="47"/>
      <c r="CJ66" s="47"/>
      <c r="CK66" s="47"/>
      <c r="CL66" s="47"/>
      <c r="CM66" s="47"/>
      <c r="CN66" s="47"/>
      <c r="CO66" s="47"/>
      <c r="CP66" s="47"/>
      <c r="CQ66" s="47"/>
      <c r="CR66" s="47"/>
      <c r="CS66" s="47"/>
      <c r="CT66" s="47"/>
      <c r="CU66" s="47"/>
      <c r="CV66" s="47"/>
      <c r="CW66" s="47"/>
      <c r="CX66" s="47"/>
      <c r="CY66" s="47"/>
      <c r="CZ66" s="47"/>
      <c r="DA66" s="47"/>
      <c r="DB66" s="47"/>
      <c r="DC66" s="47"/>
      <c r="DD66" s="47"/>
      <c r="DE66" s="47"/>
      <c r="DF66" s="47"/>
      <c r="DG66" s="47"/>
      <c r="DH66" s="47"/>
      <c r="DI66" s="47"/>
      <c r="DJ66" s="47"/>
      <c r="DK66" s="47"/>
      <c r="DL66" s="47"/>
      <c r="DM66" s="47"/>
      <c r="DN66" s="47"/>
      <c r="DO66" s="47"/>
      <c r="DP66" s="47"/>
      <c r="DQ66" s="47"/>
      <c r="DR66" s="47"/>
      <c r="DS66" s="47"/>
      <c r="DT66" s="47"/>
      <c r="DU66" s="47"/>
      <c r="DV66" s="47"/>
      <c r="DW66" s="198"/>
      <c r="DX66" s="47"/>
      <c r="DY66" s="47"/>
      <c r="DZ66" s="198"/>
      <c r="EA66" s="47"/>
      <c r="EB66" s="47"/>
      <c r="EC66" s="47"/>
      <c r="ED66" s="195"/>
      <c r="EE66" s="195"/>
      <c r="EF66" s="195"/>
      <c r="EG66" s="195"/>
      <c r="EH66" s="195"/>
      <c r="EI66" s="196"/>
      <c r="EJ66" s="201"/>
      <c r="EK66" s="202"/>
      <c r="FA66" s="251"/>
    </row>
    <row r="67" spans="1:157" s="1" customFormat="1" ht="20.149999999999999" customHeight="1" x14ac:dyDescent="0.35">
      <c r="A67" s="137"/>
      <c r="B67" s="47" t="s">
        <v>1747</v>
      </c>
      <c r="C67" s="47" t="s">
        <v>1749</v>
      </c>
      <c r="D67" s="2" t="s">
        <v>33</v>
      </c>
      <c r="E67" s="48" t="s">
        <v>59</v>
      </c>
      <c r="F67" s="2" t="s">
        <v>1745</v>
      </c>
      <c r="G67" s="48" t="s">
        <v>1750</v>
      </c>
      <c r="H67" s="328">
        <f>(55/30000*250/2)+0.33</f>
        <v>0.5591666666666667</v>
      </c>
      <c r="I67" s="197"/>
      <c r="J67" s="197"/>
      <c r="K67" s="197"/>
      <c r="L67" s="197"/>
      <c r="M67" s="197"/>
      <c r="N67" s="194"/>
      <c r="O67" s="197"/>
      <c r="P67" s="197"/>
      <c r="Q67" s="197"/>
      <c r="R67" s="197"/>
      <c r="S67" s="197"/>
      <c r="T67" s="197"/>
      <c r="U67" s="197"/>
      <c r="V67" s="168"/>
      <c r="W67" s="197"/>
      <c r="X67" s="197"/>
      <c r="Y67" s="197"/>
      <c r="Z67" s="197"/>
      <c r="AA67" s="197"/>
      <c r="AB67" s="197"/>
      <c r="AC67" s="197"/>
      <c r="AD67" s="197"/>
      <c r="AE67" s="197"/>
      <c r="AF67" s="194"/>
      <c r="AG67" s="194"/>
      <c r="AI67" s="194"/>
      <c r="AJ67" s="194"/>
      <c r="AK67" s="47"/>
      <c r="AL67" s="47"/>
      <c r="AM67" s="47"/>
      <c r="AN67" s="47"/>
      <c r="AO67" s="47"/>
      <c r="AP67" s="197"/>
      <c r="AQ67" s="197"/>
      <c r="AR67" s="197"/>
      <c r="AS67" s="197"/>
      <c r="AT67" s="197"/>
      <c r="AU67" s="197"/>
      <c r="AV67" s="197"/>
      <c r="AW67" s="197"/>
      <c r="AX67" s="197"/>
      <c r="AY67" s="197"/>
      <c r="AZ67" s="197"/>
      <c r="BA67" s="197"/>
      <c r="BB67" s="197"/>
      <c r="BC67" s="19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198"/>
      <c r="DX67" s="47"/>
      <c r="DY67" s="47"/>
      <c r="DZ67" s="198"/>
      <c r="EA67" s="47"/>
      <c r="EB67" s="47"/>
      <c r="EC67" s="47"/>
      <c r="ED67" s="195"/>
      <c r="EE67" s="195"/>
      <c r="EF67" s="195"/>
      <c r="EG67" s="195"/>
      <c r="EH67" s="195"/>
      <c r="EI67" s="196"/>
      <c r="EJ67" s="201"/>
      <c r="EK67" s="202"/>
      <c r="FA67" s="251"/>
    </row>
    <row r="68" spans="1:157" s="1" customFormat="1" ht="20.149999999999999" customHeight="1" x14ac:dyDescent="0.35">
      <c r="A68" s="137"/>
      <c r="B68" s="47" t="s">
        <v>1743</v>
      </c>
      <c r="C68" s="47" t="s">
        <v>1744</v>
      </c>
      <c r="D68" s="2" t="s">
        <v>33</v>
      </c>
      <c r="E68" s="48" t="s">
        <v>59</v>
      </c>
      <c r="F68" s="2" t="s">
        <v>1745</v>
      </c>
      <c r="G68" s="48" t="s">
        <v>82</v>
      </c>
      <c r="H68" s="331">
        <v>3.32</v>
      </c>
      <c r="I68" s="197"/>
      <c r="J68" s="197"/>
      <c r="K68" s="197"/>
      <c r="L68" s="197"/>
      <c r="M68" s="197"/>
      <c r="N68" s="194"/>
      <c r="O68" s="197"/>
      <c r="P68" s="197"/>
      <c r="Q68" s="197"/>
      <c r="R68" s="197"/>
      <c r="S68" s="197"/>
      <c r="T68" s="197"/>
      <c r="U68" s="197"/>
      <c r="V68" s="168"/>
      <c r="W68" s="197"/>
      <c r="X68" s="197"/>
      <c r="Y68" s="197"/>
      <c r="Z68" s="197"/>
      <c r="AA68" s="197"/>
      <c r="AB68" s="197"/>
      <c r="AC68" s="197"/>
      <c r="AD68" s="197"/>
      <c r="AE68" s="197"/>
      <c r="AF68" s="194"/>
      <c r="AG68" s="194"/>
      <c r="AI68" s="194"/>
      <c r="AJ68" s="194"/>
      <c r="AK68" s="47"/>
      <c r="AL68" s="47"/>
      <c r="AM68" s="47"/>
      <c r="AN68" s="47"/>
      <c r="AO68" s="47"/>
      <c r="AP68" s="197"/>
      <c r="AQ68" s="197"/>
      <c r="AR68" s="197"/>
      <c r="AS68" s="197"/>
      <c r="AT68" s="197"/>
      <c r="AU68" s="197"/>
      <c r="AV68" s="197"/>
      <c r="AW68" s="197"/>
      <c r="AX68" s="197"/>
      <c r="AY68" s="197"/>
      <c r="AZ68" s="197"/>
      <c r="BA68" s="197"/>
      <c r="BB68" s="197"/>
      <c r="BC68" s="19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>
        <v>9</v>
      </c>
      <c r="DU68" s="47"/>
      <c r="DV68" s="47"/>
      <c r="DW68" s="198"/>
      <c r="DX68" s="47"/>
      <c r="DY68" s="47"/>
      <c r="DZ68" s="198"/>
      <c r="EA68" s="47"/>
      <c r="EB68" s="47"/>
      <c r="EC68" s="47"/>
      <c r="ED68" s="195"/>
      <c r="EE68" s="195"/>
      <c r="EF68" s="195"/>
      <c r="EG68" s="195"/>
      <c r="EH68" s="195"/>
      <c r="EI68" s="196"/>
      <c r="EJ68" s="201"/>
      <c r="EK68" s="202"/>
      <c r="FA68" s="251"/>
    </row>
    <row r="69" spans="1:157" s="89" customFormat="1" ht="20.149999999999999" customHeight="1" x14ac:dyDescent="0.35">
      <c r="A69" s="47"/>
      <c r="B69" s="47" t="s">
        <v>847</v>
      </c>
      <c r="C69" s="47" t="s">
        <v>90</v>
      </c>
      <c r="D69" s="252" t="s">
        <v>636</v>
      </c>
      <c r="E69" s="2" t="s">
        <v>695</v>
      </c>
      <c r="F69" s="2" t="s">
        <v>1761</v>
      </c>
      <c r="G69" s="2" t="s">
        <v>32</v>
      </c>
      <c r="H69" s="57">
        <v>44</v>
      </c>
      <c r="I69" s="47"/>
      <c r="J69" s="47"/>
      <c r="K69" s="47"/>
      <c r="L69" s="47"/>
      <c r="M69" s="47"/>
      <c r="N69" s="194"/>
      <c r="O69" s="194"/>
      <c r="P69" s="194"/>
      <c r="Q69" s="194"/>
      <c r="R69" s="47"/>
      <c r="S69" s="194"/>
      <c r="T69" s="47"/>
      <c r="U69" s="194"/>
      <c r="V69" s="47"/>
      <c r="W69" s="194"/>
      <c r="X69" s="47"/>
      <c r="Y69" s="194"/>
      <c r="Z69" s="194"/>
      <c r="AA69" s="47"/>
      <c r="AB69" s="47"/>
      <c r="AC69" s="47"/>
      <c r="AD69" s="47"/>
      <c r="AE69" s="194"/>
      <c r="AF69" s="194"/>
      <c r="AG69" s="194"/>
      <c r="AI69" s="47"/>
      <c r="AJ69" s="198"/>
      <c r="AK69" s="47"/>
      <c r="AL69" s="47"/>
      <c r="AM69" s="47"/>
      <c r="AN69" s="47"/>
      <c r="AO69" s="47"/>
      <c r="AP69" s="194"/>
      <c r="AQ69" s="47"/>
      <c r="AR69" s="47"/>
      <c r="AS69" s="47"/>
      <c r="AT69" s="194"/>
      <c r="AU69" s="194"/>
      <c r="AV69" s="194"/>
      <c r="AW69" s="194"/>
      <c r="AX69" s="194"/>
      <c r="AY69" s="194"/>
      <c r="AZ69" s="194"/>
      <c r="BA69" s="194"/>
      <c r="BB69" s="194"/>
      <c r="BC69" s="194"/>
      <c r="BD69" s="194"/>
      <c r="BE69" s="194"/>
      <c r="BF69" s="194">
        <v>58</v>
      </c>
      <c r="BG69" s="194"/>
      <c r="BH69" s="194"/>
      <c r="BI69" s="194"/>
      <c r="BJ69" s="194"/>
      <c r="BK69" s="194"/>
      <c r="BL69" s="194"/>
      <c r="BM69" s="194"/>
      <c r="BN69" s="194"/>
      <c r="BO69" s="194">
        <v>0</v>
      </c>
      <c r="BP69" s="194"/>
      <c r="BQ69" s="47"/>
      <c r="BR69" s="194"/>
      <c r="BS69" s="47"/>
      <c r="BT69" s="47"/>
      <c r="BU69" s="47"/>
      <c r="BV69" s="47"/>
      <c r="BW69" s="47"/>
      <c r="BX69" s="194"/>
      <c r="BY69" s="194"/>
      <c r="BZ69" s="194"/>
      <c r="CA69" s="194"/>
      <c r="CB69" s="194"/>
      <c r="CC69" s="47"/>
      <c r="CD69" s="47"/>
      <c r="CE69" s="47"/>
      <c r="CF69" s="47"/>
      <c r="CG69" s="47"/>
      <c r="CH69" s="47"/>
      <c r="CI69" s="47"/>
      <c r="CJ69" s="47"/>
      <c r="CK69" s="47"/>
      <c r="CL69" s="194"/>
      <c r="CM69" s="47"/>
      <c r="CN69" s="47"/>
      <c r="CO69" s="47"/>
      <c r="CP69" s="47">
        <v>55</v>
      </c>
      <c r="CQ69" s="47"/>
      <c r="CR69" s="47"/>
      <c r="CS69" s="47"/>
      <c r="CT69" s="47"/>
      <c r="CU69" s="47"/>
      <c r="CV69" s="47"/>
      <c r="CW69" s="47"/>
      <c r="CX69" s="194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198"/>
      <c r="DX69" s="47"/>
      <c r="DY69" s="194"/>
      <c r="DZ69" s="198"/>
      <c r="EA69" s="47"/>
      <c r="EB69" s="194"/>
      <c r="EC69" s="47"/>
      <c r="ED69" s="195"/>
      <c r="EE69" s="195"/>
      <c r="EF69" s="195"/>
      <c r="EG69" s="195"/>
      <c r="EH69" s="195"/>
      <c r="EI69" s="196">
        <f t="shared" si="2"/>
        <v>0</v>
      </c>
      <c r="EJ69" s="201">
        <f t="shared" si="3"/>
        <v>55.88</v>
      </c>
      <c r="EK69" s="202">
        <v>52</v>
      </c>
      <c r="FA69" s="251">
        <f t="shared" si="4"/>
        <v>44</v>
      </c>
    </row>
    <row r="70" spans="1:157" s="89" customFormat="1" ht="20.149999999999999" customHeight="1" x14ac:dyDescent="0.35">
      <c r="A70" s="47"/>
      <c r="B70" s="47" t="s">
        <v>848</v>
      </c>
      <c r="C70" s="47" t="s">
        <v>1642</v>
      </c>
      <c r="D70" s="252" t="s">
        <v>636</v>
      </c>
      <c r="E70" s="2" t="s">
        <v>695</v>
      </c>
      <c r="F70" s="2" t="s">
        <v>1643</v>
      </c>
      <c r="G70" s="2" t="s">
        <v>71</v>
      </c>
      <c r="H70" s="57">
        <v>11</v>
      </c>
      <c r="I70" s="47"/>
      <c r="J70" s="47"/>
      <c r="K70" s="47"/>
      <c r="L70" s="47"/>
      <c r="M70" s="47"/>
      <c r="N70" s="194"/>
      <c r="O70" s="194"/>
      <c r="P70" s="194"/>
      <c r="Q70" s="194"/>
      <c r="R70" s="47"/>
      <c r="S70" s="194"/>
      <c r="T70" s="47"/>
      <c r="U70" s="194"/>
      <c r="V70" s="47"/>
      <c r="W70" s="194"/>
      <c r="X70" s="47"/>
      <c r="Y70" s="194"/>
      <c r="Z70" s="194"/>
      <c r="AA70" s="47"/>
      <c r="AB70" s="47"/>
      <c r="AC70" s="47"/>
      <c r="AD70" s="47"/>
      <c r="AE70" s="194"/>
      <c r="AF70" s="194"/>
      <c r="AG70" s="194"/>
      <c r="AH70" s="355"/>
      <c r="AI70" s="47"/>
      <c r="AJ70" s="198"/>
      <c r="AK70" s="47"/>
      <c r="AL70" s="47"/>
      <c r="AM70" s="47"/>
      <c r="AN70" s="47"/>
      <c r="AO70" s="47"/>
      <c r="AP70" s="194"/>
      <c r="AQ70" s="47"/>
      <c r="AR70" s="47"/>
      <c r="AS70" s="47"/>
      <c r="AT70" s="194"/>
      <c r="AU70" s="194"/>
      <c r="AV70" s="194"/>
      <c r="AW70" s="194"/>
      <c r="AX70" s="194"/>
      <c r="AY70" s="194"/>
      <c r="AZ70" s="194"/>
      <c r="BA70" s="194"/>
      <c r="BB70" s="194"/>
      <c r="BC70" s="194"/>
      <c r="BD70" s="194"/>
      <c r="BE70" s="194"/>
      <c r="BF70" s="194">
        <v>14</v>
      </c>
      <c r="BG70" s="194"/>
      <c r="BH70" s="194"/>
      <c r="BI70" s="194"/>
      <c r="BJ70" s="194"/>
      <c r="BK70" s="194"/>
      <c r="BL70" s="194"/>
      <c r="BM70" s="194"/>
      <c r="BN70" s="194"/>
      <c r="BO70" s="194">
        <v>14</v>
      </c>
      <c r="BP70" s="194"/>
      <c r="BQ70" s="47"/>
      <c r="BR70" s="194"/>
      <c r="BS70" s="47"/>
      <c r="BT70" s="47"/>
      <c r="BU70" s="47"/>
      <c r="BV70" s="47"/>
      <c r="BW70" s="47"/>
      <c r="BX70" s="194"/>
      <c r="BY70" s="194"/>
      <c r="BZ70" s="194"/>
      <c r="CA70" s="194"/>
      <c r="CB70" s="194"/>
      <c r="CC70" s="47"/>
      <c r="CD70" s="47"/>
      <c r="CE70" s="47"/>
      <c r="CF70" s="47"/>
      <c r="CG70" s="47"/>
      <c r="CH70" s="47"/>
      <c r="CI70" s="47"/>
      <c r="CJ70" s="47"/>
      <c r="CK70" s="47"/>
      <c r="CL70" s="194"/>
      <c r="CM70" s="47"/>
      <c r="CN70" s="47"/>
      <c r="CO70" s="47">
        <v>14</v>
      </c>
      <c r="CP70" s="47"/>
      <c r="CQ70" s="47"/>
      <c r="CR70" s="47"/>
      <c r="CS70" s="47"/>
      <c r="CT70" s="47"/>
      <c r="CU70" s="47"/>
      <c r="CV70" s="47"/>
      <c r="CW70" s="47"/>
      <c r="CX70" s="194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198"/>
      <c r="DX70" s="47"/>
      <c r="DY70" s="194"/>
      <c r="DZ70" s="198"/>
      <c r="EA70" s="47"/>
      <c r="EB70" s="194"/>
      <c r="EC70" s="47"/>
      <c r="ED70" s="195"/>
      <c r="EE70" s="195"/>
      <c r="EF70" s="195"/>
      <c r="EG70" s="195"/>
      <c r="EH70" s="195">
        <v>2</v>
      </c>
      <c r="EI70" s="196">
        <f t="shared" si="2"/>
        <v>22</v>
      </c>
      <c r="EJ70" s="201">
        <f t="shared" si="3"/>
        <v>13.97</v>
      </c>
      <c r="EK70" s="202">
        <v>15</v>
      </c>
      <c r="EL70" s="355">
        <v>14</v>
      </c>
      <c r="FA70" s="251">
        <f t="shared" si="4"/>
        <v>11</v>
      </c>
    </row>
    <row r="71" spans="1:157" s="89" customFormat="1" ht="20.149999999999999" customHeight="1" x14ac:dyDescent="0.35">
      <c r="A71" s="47"/>
      <c r="B71" s="47" t="s">
        <v>849</v>
      </c>
      <c r="C71" s="47" t="s">
        <v>1417</v>
      </c>
      <c r="D71" s="252" t="s">
        <v>56</v>
      </c>
      <c r="E71" s="2" t="s">
        <v>694</v>
      </c>
      <c r="F71" s="2" t="s">
        <v>1644</v>
      </c>
      <c r="G71" s="2" t="s">
        <v>37</v>
      </c>
      <c r="H71" s="328">
        <f>5.5</f>
        <v>5.5</v>
      </c>
      <c r="I71" s="47"/>
      <c r="J71" s="47"/>
      <c r="K71" s="47"/>
      <c r="L71" s="47"/>
      <c r="M71" s="47">
        <v>6.5</v>
      </c>
      <c r="N71" s="194"/>
      <c r="O71" s="194"/>
      <c r="P71" s="194"/>
      <c r="Q71" s="194">
        <v>6</v>
      </c>
      <c r="R71" s="47"/>
      <c r="S71" s="194">
        <v>7</v>
      </c>
      <c r="T71" s="47"/>
      <c r="U71" s="194"/>
      <c r="V71" s="47"/>
      <c r="W71" s="194"/>
      <c r="X71" s="47">
        <v>6.5</v>
      </c>
      <c r="Y71" s="194"/>
      <c r="Z71" s="194"/>
      <c r="AA71" s="47"/>
      <c r="AB71" s="47">
        <v>6.8</v>
      </c>
      <c r="AC71" s="47"/>
      <c r="AD71" s="47"/>
      <c r="AE71" s="194"/>
      <c r="AF71" s="194">
        <v>6.5</v>
      </c>
      <c r="AG71" s="194"/>
      <c r="AI71" s="47"/>
      <c r="AJ71" s="223"/>
      <c r="AK71" s="47"/>
      <c r="AL71" s="47"/>
      <c r="AM71" s="47"/>
      <c r="AN71" s="47"/>
      <c r="AO71" s="47"/>
      <c r="AP71" s="194">
        <v>6</v>
      </c>
      <c r="AQ71" s="47"/>
      <c r="AR71" s="47">
        <v>6</v>
      </c>
      <c r="AS71" s="47"/>
      <c r="AT71" s="194"/>
      <c r="AU71" s="194"/>
      <c r="AV71" s="194"/>
      <c r="AW71" s="194"/>
      <c r="AX71" s="194"/>
      <c r="AY71" s="194">
        <v>6.5</v>
      </c>
      <c r="AZ71" s="194"/>
      <c r="BA71" s="194"/>
      <c r="BB71" s="194"/>
      <c r="BC71" s="194"/>
      <c r="BD71" s="194"/>
      <c r="BE71" s="194"/>
      <c r="BF71" s="194"/>
      <c r="BG71" s="194"/>
      <c r="BH71" s="194"/>
      <c r="BI71" s="194"/>
      <c r="BJ71" s="194"/>
      <c r="BK71" s="194"/>
      <c r="BL71" s="194">
        <v>7</v>
      </c>
      <c r="BM71" s="194">
        <v>6.5</v>
      </c>
      <c r="BN71" s="194">
        <v>7</v>
      </c>
      <c r="BO71" s="194"/>
      <c r="BP71" s="194"/>
      <c r="BQ71" s="47"/>
      <c r="BR71" s="194"/>
      <c r="BS71" s="47"/>
      <c r="BT71" s="47"/>
      <c r="BU71" s="47"/>
      <c r="BV71" s="47"/>
      <c r="BW71" s="47"/>
      <c r="BX71" s="194"/>
      <c r="BY71" s="194"/>
      <c r="BZ71" s="194"/>
      <c r="CA71" s="194"/>
      <c r="CB71" s="194"/>
      <c r="CC71" s="47"/>
      <c r="CD71" s="47"/>
      <c r="CE71" s="47"/>
      <c r="CF71" s="47"/>
      <c r="CG71" s="47"/>
      <c r="CH71" s="47"/>
      <c r="CI71" s="47"/>
      <c r="CJ71" s="47"/>
      <c r="CK71" s="224"/>
      <c r="CL71" s="194">
        <v>6.5</v>
      </c>
      <c r="CM71" s="47"/>
      <c r="CN71" s="47"/>
      <c r="CO71" s="47">
        <v>6.5</v>
      </c>
      <c r="CP71" s="47">
        <v>6.5</v>
      </c>
      <c r="CQ71" s="47">
        <v>6</v>
      </c>
      <c r="CR71" s="47"/>
      <c r="CS71" s="198">
        <v>6.5</v>
      </c>
      <c r="CT71" s="47"/>
      <c r="CU71" s="47"/>
      <c r="CV71" s="47">
        <v>6.5</v>
      </c>
      <c r="CW71" s="47"/>
      <c r="CX71" s="194">
        <v>6.5</v>
      </c>
      <c r="CY71" s="47"/>
      <c r="CZ71" s="47"/>
      <c r="DA71" s="47"/>
      <c r="DB71" s="47"/>
      <c r="DC71" s="47"/>
      <c r="DD71" s="47"/>
      <c r="DE71" s="47"/>
      <c r="DF71" s="47"/>
      <c r="DG71" s="47"/>
      <c r="DH71" s="47"/>
      <c r="DI71" s="47"/>
      <c r="DJ71" s="47"/>
      <c r="DK71" s="47"/>
      <c r="DL71" s="47"/>
      <c r="DM71" s="47"/>
      <c r="DN71" s="47"/>
      <c r="DO71" s="47"/>
      <c r="DP71" s="47"/>
      <c r="DQ71" s="47"/>
      <c r="DR71" s="47"/>
      <c r="DS71" s="47"/>
      <c r="DT71" s="47"/>
      <c r="DU71" s="47"/>
      <c r="DV71" s="47">
        <v>6</v>
      </c>
      <c r="DW71" s="198"/>
      <c r="DX71" s="47"/>
      <c r="DY71" s="194"/>
      <c r="DZ71" s="198"/>
      <c r="EA71" s="47"/>
      <c r="EB71" s="194"/>
      <c r="EC71" s="47"/>
      <c r="ED71" s="195"/>
      <c r="EE71" s="195"/>
      <c r="EF71" s="195"/>
      <c r="EG71" s="195"/>
      <c r="EH71" s="195">
        <v>36</v>
      </c>
      <c r="EI71" s="196">
        <f t="shared" si="2"/>
        <v>198</v>
      </c>
      <c r="EJ71" s="201">
        <f t="shared" si="3"/>
        <v>6.9850000000000003</v>
      </c>
      <c r="EK71" s="202">
        <v>6</v>
      </c>
      <c r="FA71" s="251">
        <f t="shared" si="4"/>
        <v>5.5</v>
      </c>
    </row>
    <row r="72" spans="1:157" s="89" customFormat="1" ht="20.149999999999999" customHeight="1" x14ac:dyDescent="0.35">
      <c r="A72" s="2"/>
      <c r="B72" s="47" t="s">
        <v>850</v>
      </c>
      <c r="C72" s="47" t="s">
        <v>161</v>
      </c>
      <c r="D72" s="252" t="s">
        <v>56</v>
      </c>
      <c r="E72" s="2" t="s">
        <v>694</v>
      </c>
      <c r="F72" s="2" t="s">
        <v>1644</v>
      </c>
      <c r="G72" s="2" t="s">
        <v>37</v>
      </c>
      <c r="H72" s="328">
        <v>4</v>
      </c>
      <c r="I72" s="47"/>
      <c r="J72" s="47"/>
      <c r="K72" s="47"/>
      <c r="L72" s="47"/>
      <c r="M72" s="47"/>
      <c r="N72" s="194"/>
      <c r="O72" s="194"/>
      <c r="P72" s="194"/>
      <c r="Q72" s="194"/>
      <c r="R72" s="47"/>
      <c r="S72" s="194"/>
      <c r="T72" s="47"/>
      <c r="U72" s="194"/>
      <c r="V72" s="47"/>
      <c r="W72" s="194"/>
      <c r="X72" s="47">
        <v>6</v>
      </c>
      <c r="Y72" s="194"/>
      <c r="Z72" s="194"/>
      <c r="AA72" s="47"/>
      <c r="AB72" s="47">
        <v>6</v>
      </c>
      <c r="AC72" s="47"/>
      <c r="AD72" s="47">
        <v>6.5</v>
      </c>
      <c r="AE72" s="194"/>
      <c r="AF72" s="194"/>
      <c r="AG72" s="194"/>
      <c r="AI72" s="47"/>
      <c r="AJ72" s="223"/>
      <c r="AK72" s="47"/>
      <c r="AL72" s="47"/>
      <c r="AM72" s="47"/>
      <c r="AN72" s="47"/>
      <c r="AO72" s="47"/>
      <c r="AP72" s="194"/>
      <c r="AQ72" s="47"/>
      <c r="AR72" s="47"/>
      <c r="AS72" s="47"/>
      <c r="AT72" s="194"/>
      <c r="AU72" s="194"/>
      <c r="AV72" s="194"/>
      <c r="AW72" s="194"/>
      <c r="AX72" s="194"/>
      <c r="AY72" s="194"/>
      <c r="AZ72" s="194"/>
      <c r="BA72" s="194"/>
      <c r="BB72" s="194"/>
      <c r="BC72" s="194"/>
      <c r="BD72" s="194"/>
      <c r="BE72" s="194"/>
      <c r="BF72" s="194"/>
      <c r="BG72" s="194"/>
      <c r="BH72" s="194"/>
      <c r="BI72" s="194"/>
      <c r="BJ72" s="194"/>
      <c r="BK72" s="194"/>
      <c r="BL72" s="194"/>
      <c r="BM72" s="194"/>
      <c r="BN72" s="194"/>
      <c r="BO72" s="194"/>
      <c r="BP72" s="194"/>
      <c r="BQ72" s="47"/>
      <c r="BR72" s="194"/>
      <c r="BS72" s="47"/>
      <c r="BT72" s="47"/>
      <c r="BU72" s="47"/>
      <c r="BV72" s="47"/>
      <c r="BW72" s="47"/>
      <c r="BX72" s="194"/>
      <c r="BY72" s="194"/>
      <c r="BZ72" s="194"/>
      <c r="CA72" s="194"/>
      <c r="CB72" s="194"/>
      <c r="CC72" s="47"/>
      <c r="CD72" s="198">
        <v>6</v>
      </c>
      <c r="CE72" s="47"/>
      <c r="CF72" s="47"/>
      <c r="CG72" s="47">
        <v>6.5</v>
      </c>
      <c r="CH72" s="47"/>
      <c r="CI72" s="47">
        <v>6</v>
      </c>
      <c r="CJ72" s="47"/>
      <c r="CK72" s="194"/>
      <c r="CL72" s="194">
        <v>7</v>
      </c>
      <c r="CM72" s="47"/>
      <c r="CN72" s="47"/>
      <c r="CO72" s="47"/>
      <c r="CP72" s="47"/>
      <c r="CQ72" s="47"/>
      <c r="CR72" s="47"/>
      <c r="CS72" s="47"/>
      <c r="CT72" s="47"/>
      <c r="CU72" s="47"/>
      <c r="CV72" s="47">
        <v>7</v>
      </c>
      <c r="CW72" s="47"/>
      <c r="CX72" s="194">
        <v>6</v>
      </c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>
        <v>6</v>
      </c>
      <c r="DW72" s="198"/>
      <c r="DX72" s="47"/>
      <c r="DY72" s="194"/>
      <c r="DZ72" s="198"/>
      <c r="EA72" s="47"/>
      <c r="EB72" s="194"/>
      <c r="EC72" s="47"/>
      <c r="ED72" s="195"/>
      <c r="EE72" s="195"/>
      <c r="EF72" s="195"/>
      <c r="EG72" s="195"/>
      <c r="EH72" s="195">
        <v>9</v>
      </c>
      <c r="EI72" s="196">
        <f t="shared" si="2"/>
        <v>36</v>
      </c>
      <c r="EJ72" s="201">
        <f t="shared" si="3"/>
        <v>5.08</v>
      </c>
      <c r="EK72" s="202">
        <v>6</v>
      </c>
      <c r="FA72" s="251">
        <f t="shared" si="4"/>
        <v>4</v>
      </c>
    </row>
    <row r="73" spans="1:157" s="89" customFormat="1" ht="20.149999999999999" customHeight="1" x14ac:dyDescent="0.35">
      <c r="A73" s="2"/>
      <c r="B73" s="47" t="s">
        <v>851</v>
      </c>
      <c r="C73" s="47" t="s">
        <v>1645</v>
      </c>
      <c r="D73" s="2" t="s">
        <v>638</v>
      </c>
      <c r="E73" s="2" t="s">
        <v>33</v>
      </c>
      <c r="F73" s="2" t="s">
        <v>1644</v>
      </c>
      <c r="G73" s="2" t="s">
        <v>37</v>
      </c>
      <c r="H73" s="328">
        <v>6</v>
      </c>
      <c r="I73" s="47"/>
      <c r="J73" s="47"/>
      <c r="K73" s="47"/>
      <c r="L73" s="47"/>
      <c r="M73" s="47"/>
      <c r="N73" s="194"/>
      <c r="O73" s="194"/>
      <c r="P73" s="194"/>
      <c r="Q73" s="194">
        <v>7.5</v>
      </c>
      <c r="R73" s="47"/>
      <c r="S73" s="194"/>
      <c r="T73" s="47"/>
      <c r="U73" s="194"/>
      <c r="V73" s="47"/>
      <c r="W73" s="194"/>
      <c r="X73" s="47">
        <v>6.5</v>
      </c>
      <c r="Y73" s="194"/>
      <c r="Z73" s="194"/>
      <c r="AA73" s="47"/>
      <c r="AB73" s="47">
        <v>7.5</v>
      </c>
      <c r="AC73" s="47">
        <v>7.5</v>
      </c>
      <c r="AD73" s="47"/>
      <c r="AE73" s="194"/>
      <c r="AF73" s="194"/>
      <c r="AG73" s="194"/>
      <c r="AI73" s="47"/>
      <c r="AJ73" s="223"/>
      <c r="AK73" s="47"/>
      <c r="AL73" s="47"/>
      <c r="AM73" s="47"/>
      <c r="AN73" s="47"/>
      <c r="AO73" s="47"/>
      <c r="AP73" s="194"/>
      <c r="AQ73" s="47"/>
      <c r="AR73" s="47">
        <v>6.5</v>
      </c>
      <c r="AS73" s="47"/>
      <c r="AT73" s="194"/>
      <c r="AU73" s="194"/>
      <c r="AV73" s="194"/>
      <c r="AW73" s="194"/>
      <c r="AX73" s="194"/>
      <c r="AY73" s="194">
        <v>6.5</v>
      </c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  <c r="BM73" s="194"/>
      <c r="BN73" s="194"/>
      <c r="BO73" s="194"/>
      <c r="BP73" s="194"/>
      <c r="BQ73" s="47"/>
      <c r="BR73" s="194"/>
      <c r="BS73" s="47"/>
      <c r="BT73" s="47"/>
      <c r="BU73" s="47"/>
      <c r="BV73" s="47"/>
      <c r="BW73" s="47"/>
      <c r="BX73" s="194">
        <v>8</v>
      </c>
      <c r="BY73" s="194"/>
      <c r="BZ73" s="194">
        <v>7</v>
      </c>
      <c r="CA73" s="194"/>
      <c r="CB73" s="194"/>
      <c r="CC73" s="47"/>
      <c r="CD73" s="47"/>
      <c r="CE73" s="47"/>
      <c r="CF73" s="47"/>
      <c r="CG73" s="47"/>
      <c r="CH73" s="47"/>
      <c r="CI73" s="47"/>
      <c r="CJ73" s="47"/>
      <c r="CK73" s="194">
        <v>8</v>
      </c>
      <c r="CL73" s="194">
        <v>7</v>
      </c>
      <c r="CM73" s="47"/>
      <c r="CN73" s="47"/>
      <c r="CO73" s="47"/>
      <c r="CP73" s="47">
        <v>7</v>
      </c>
      <c r="CQ73" s="47"/>
      <c r="CR73" s="47"/>
      <c r="CS73" s="47"/>
      <c r="CT73" s="47"/>
      <c r="CU73" s="47"/>
      <c r="CV73" s="47"/>
      <c r="CW73" s="47"/>
      <c r="CX73" s="194">
        <v>7.5</v>
      </c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>
        <v>8</v>
      </c>
      <c r="DU73" s="47"/>
      <c r="DV73" s="47"/>
      <c r="DW73" s="198"/>
      <c r="DX73" s="47"/>
      <c r="DY73" s="194"/>
      <c r="DZ73" s="198"/>
      <c r="EA73" s="47"/>
      <c r="EB73" s="194"/>
      <c r="EC73" s="47"/>
      <c r="ED73" s="195"/>
      <c r="EE73" s="195"/>
      <c r="EF73" s="195"/>
      <c r="EG73" s="195"/>
      <c r="EH73" s="195">
        <v>17</v>
      </c>
      <c r="EI73" s="196">
        <f t="shared" si="2"/>
        <v>102</v>
      </c>
      <c r="EJ73" s="201">
        <f t="shared" si="3"/>
        <v>7.62</v>
      </c>
      <c r="EK73" s="202">
        <v>6</v>
      </c>
      <c r="FA73" s="251">
        <f t="shared" si="4"/>
        <v>6</v>
      </c>
    </row>
    <row r="74" spans="1:157" s="89" customFormat="1" ht="20.149999999999999" customHeight="1" x14ac:dyDescent="0.35">
      <c r="A74" s="2"/>
      <c r="B74" s="47" t="s">
        <v>852</v>
      </c>
      <c r="C74" s="47" t="s">
        <v>1646</v>
      </c>
      <c r="D74" s="2" t="s">
        <v>638</v>
      </c>
      <c r="E74" s="2" t="s">
        <v>1479</v>
      </c>
      <c r="F74" s="2" t="s">
        <v>1644</v>
      </c>
      <c r="G74" s="2" t="s">
        <v>37</v>
      </c>
      <c r="H74" s="57">
        <v>5</v>
      </c>
      <c r="I74" s="47"/>
      <c r="J74" s="47"/>
      <c r="K74" s="47"/>
      <c r="L74" s="47"/>
      <c r="M74" s="47"/>
      <c r="N74" s="194"/>
      <c r="O74" s="194"/>
      <c r="P74" s="194"/>
      <c r="Q74" s="194"/>
      <c r="R74" s="47"/>
      <c r="S74" s="194"/>
      <c r="T74" s="47"/>
      <c r="U74" s="194"/>
      <c r="V74" s="47"/>
      <c r="W74" s="194"/>
      <c r="X74" s="47"/>
      <c r="Y74" s="194"/>
      <c r="Z74" s="194"/>
      <c r="AA74" s="47"/>
      <c r="AB74" s="47"/>
      <c r="AC74" s="47"/>
      <c r="AD74" s="47"/>
      <c r="AE74" s="194"/>
      <c r="AF74" s="194"/>
      <c r="AG74" s="194"/>
      <c r="AI74" s="47"/>
      <c r="AJ74" s="223"/>
      <c r="AK74" s="47"/>
      <c r="AL74" s="47"/>
      <c r="AM74" s="47"/>
      <c r="AN74" s="47"/>
      <c r="AO74" s="47"/>
      <c r="AP74" s="194"/>
      <c r="AQ74" s="47"/>
      <c r="AR74" s="47"/>
      <c r="AS74" s="47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  <c r="BM74" s="194"/>
      <c r="BN74" s="194"/>
      <c r="BO74" s="194"/>
      <c r="BP74" s="194"/>
      <c r="BQ74" s="47"/>
      <c r="BR74" s="194"/>
      <c r="BS74" s="47"/>
      <c r="BT74" s="47"/>
      <c r="BU74" s="47"/>
      <c r="BV74" s="47"/>
      <c r="BW74" s="47"/>
      <c r="BX74" s="194"/>
      <c r="BY74" s="194"/>
      <c r="BZ74" s="194"/>
      <c r="CA74" s="194"/>
      <c r="CB74" s="194"/>
      <c r="CC74" s="47"/>
      <c r="CD74" s="47"/>
      <c r="CE74" s="47"/>
      <c r="CF74" s="47"/>
      <c r="CG74" s="47"/>
      <c r="CH74" s="47"/>
      <c r="CI74" s="47"/>
      <c r="CJ74" s="47"/>
      <c r="CK74" s="194"/>
      <c r="CL74" s="194">
        <v>7</v>
      </c>
      <c r="CM74" s="47"/>
      <c r="CN74" s="47"/>
      <c r="CO74" s="47"/>
      <c r="CP74" s="225">
        <v>8</v>
      </c>
      <c r="CQ74" s="47"/>
      <c r="CR74" s="47"/>
      <c r="CS74" s="47"/>
      <c r="CT74" s="47"/>
      <c r="CU74" s="47"/>
      <c r="CV74" s="47"/>
      <c r="CW74" s="47"/>
      <c r="CX74" s="194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>
        <v>7.5</v>
      </c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198"/>
      <c r="DX74" s="47"/>
      <c r="DY74" s="194"/>
      <c r="DZ74" s="198"/>
      <c r="EA74" s="47"/>
      <c r="EB74" s="194"/>
      <c r="EC74" s="47"/>
      <c r="ED74" s="195"/>
      <c r="EE74" s="195"/>
      <c r="EF74" s="195"/>
      <c r="EG74" s="195"/>
      <c r="EH74" s="195">
        <v>5</v>
      </c>
      <c r="EI74" s="196">
        <f t="shared" si="2"/>
        <v>25</v>
      </c>
      <c r="EJ74" s="201">
        <f t="shared" si="3"/>
        <v>6.35</v>
      </c>
      <c r="EK74" s="202">
        <v>7</v>
      </c>
      <c r="FA74" s="251">
        <f t="shared" si="4"/>
        <v>5</v>
      </c>
    </row>
    <row r="75" spans="1:157" s="89" customFormat="1" ht="20.149999999999999" customHeight="1" x14ac:dyDescent="0.35">
      <c r="A75" s="2"/>
      <c r="B75" s="47" t="s">
        <v>853</v>
      </c>
      <c r="C75" s="47" t="s">
        <v>1647</v>
      </c>
      <c r="D75" s="252" t="s">
        <v>636</v>
      </c>
      <c r="E75" s="2" t="s">
        <v>33</v>
      </c>
      <c r="F75" s="2" t="s">
        <v>1648</v>
      </c>
      <c r="G75" s="2" t="s">
        <v>37</v>
      </c>
      <c r="H75" s="57">
        <f>13.95*1.08</f>
        <v>15.066000000000001</v>
      </c>
      <c r="I75" s="47"/>
      <c r="J75" s="47"/>
      <c r="K75" s="47"/>
      <c r="L75" s="47"/>
      <c r="M75" s="47"/>
      <c r="N75" s="194"/>
      <c r="O75" s="194"/>
      <c r="P75" s="194"/>
      <c r="Q75" s="194"/>
      <c r="R75" s="47"/>
      <c r="S75" s="194"/>
      <c r="T75" s="47"/>
      <c r="U75" s="194"/>
      <c r="V75" s="47"/>
      <c r="W75" s="194"/>
      <c r="X75" s="47">
        <v>23</v>
      </c>
      <c r="Y75" s="194"/>
      <c r="Z75" s="194"/>
      <c r="AA75" s="47"/>
      <c r="AB75" s="47"/>
      <c r="AC75" s="47"/>
      <c r="AD75" s="47"/>
      <c r="AE75" s="194"/>
      <c r="AF75" s="194"/>
      <c r="AG75" s="194"/>
      <c r="AI75" s="47"/>
      <c r="AJ75" s="223"/>
      <c r="AK75" s="47"/>
      <c r="AL75" s="47"/>
      <c r="AM75" s="47"/>
      <c r="AN75" s="47"/>
      <c r="AO75" s="47"/>
      <c r="AP75" s="194"/>
      <c r="AQ75" s="47"/>
      <c r="AR75" s="47"/>
      <c r="AS75" s="47"/>
      <c r="AT75" s="194"/>
      <c r="AU75" s="194"/>
      <c r="AV75" s="194"/>
      <c r="AW75" s="194"/>
      <c r="AX75" s="194"/>
      <c r="AY75" s="194"/>
      <c r="AZ75" s="194"/>
      <c r="BA75" s="194"/>
      <c r="BB75" s="194"/>
      <c r="BC75" s="194"/>
      <c r="BD75" s="194"/>
      <c r="BE75" s="194"/>
      <c r="BF75" s="194"/>
      <c r="BG75" s="194"/>
      <c r="BH75" s="194"/>
      <c r="BI75" s="194"/>
      <c r="BJ75" s="194"/>
      <c r="BK75" s="194"/>
      <c r="BL75" s="194"/>
      <c r="BM75" s="194"/>
      <c r="BN75" s="194"/>
      <c r="BO75" s="194"/>
      <c r="BP75" s="194"/>
      <c r="BQ75" s="47"/>
      <c r="BR75" s="194"/>
      <c r="BS75" s="47"/>
      <c r="BT75" s="47"/>
      <c r="BU75" s="47"/>
      <c r="BV75" s="47"/>
      <c r="BW75" s="47"/>
      <c r="BX75" s="194"/>
      <c r="BY75" s="194"/>
      <c r="BZ75" s="194"/>
      <c r="CA75" s="194"/>
      <c r="CB75" s="194"/>
      <c r="CC75" s="47"/>
      <c r="CD75" s="47"/>
      <c r="CE75" s="47"/>
      <c r="CF75" s="47"/>
      <c r="CG75" s="47"/>
      <c r="CH75" s="47"/>
      <c r="CI75" s="47">
        <v>23</v>
      </c>
      <c r="CJ75" s="47"/>
      <c r="CK75" s="194"/>
      <c r="CL75" s="194">
        <v>21</v>
      </c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194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198"/>
      <c r="DX75" s="47"/>
      <c r="DY75" s="194"/>
      <c r="DZ75" s="198"/>
      <c r="EA75" s="47"/>
      <c r="EB75" s="194"/>
      <c r="EC75" s="47"/>
      <c r="ED75" s="195"/>
      <c r="EE75" s="195"/>
      <c r="EF75" s="195"/>
      <c r="EG75" s="195"/>
      <c r="EH75" s="195">
        <v>1</v>
      </c>
      <c r="EI75" s="196">
        <f t="shared" si="2"/>
        <v>15.066000000000001</v>
      </c>
      <c r="EJ75" s="201">
        <f t="shared" si="3"/>
        <v>19.13382</v>
      </c>
      <c r="EK75" s="202">
        <f>AVERAGE(I75:EC75)</f>
        <v>22.333333333333332</v>
      </c>
      <c r="FA75" s="251">
        <f t="shared" si="4"/>
        <v>15.066000000000001</v>
      </c>
    </row>
    <row r="76" spans="1:157" s="89" customFormat="1" ht="20.149999999999999" customHeight="1" x14ac:dyDescent="0.35">
      <c r="A76" s="2"/>
      <c r="B76" s="47" t="s">
        <v>1171</v>
      </c>
      <c r="C76" s="47" t="s">
        <v>1649</v>
      </c>
      <c r="D76" s="252" t="s">
        <v>636</v>
      </c>
      <c r="E76" s="2" t="s">
        <v>33</v>
      </c>
      <c r="F76" s="2" t="s">
        <v>1648</v>
      </c>
      <c r="G76" s="2" t="s">
        <v>37</v>
      </c>
      <c r="H76" s="57">
        <f t="shared" ref="H76:H79" si="5">13.95*1.08</f>
        <v>15.066000000000001</v>
      </c>
      <c r="I76" s="47"/>
      <c r="J76" s="47"/>
      <c r="K76" s="47"/>
      <c r="L76" s="47"/>
      <c r="M76" s="47"/>
      <c r="N76" s="194"/>
      <c r="O76" s="194"/>
      <c r="P76" s="194"/>
      <c r="Q76" s="194"/>
      <c r="R76" s="47"/>
      <c r="S76" s="194"/>
      <c r="T76" s="47"/>
      <c r="U76" s="194"/>
      <c r="V76" s="47"/>
      <c r="W76" s="194"/>
      <c r="X76" s="47"/>
      <c r="Y76" s="194"/>
      <c r="Z76" s="194"/>
      <c r="AA76" s="47"/>
      <c r="AB76" s="47">
        <v>7.5</v>
      </c>
      <c r="AC76" s="47"/>
      <c r="AD76" s="47"/>
      <c r="AE76" s="194"/>
      <c r="AF76" s="194"/>
      <c r="AG76" s="194"/>
      <c r="AI76" s="47"/>
      <c r="AJ76" s="223"/>
      <c r="AK76" s="47"/>
      <c r="AL76" s="47"/>
      <c r="AM76" s="47"/>
      <c r="AN76" s="47"/>
      <c r="AO76" s="47"/>
      <c r="AP76" s="194"/>
      <c r="AQ76" s="47"/>
      <c r="AR76" s="47"/>
      <c r="AS76" s="47"/>
      <c r="AT76" s="194"/>
      <c r="AU76" s="194"/>
      <c r="AV76" s="194"/>
      <c r="AW76" s="194"/>
      <c r="AX76" s="194"/>
      <c r="AY76" s="194"/>
      <c r="AZ76" s="194"/>
      <c r="BA76" s="194"/>
      <c r="BB76" s="194"/>
      <c r="BC76" s="194"/>
      <c r="BD76" s="194"/>
      <c r="BE76" s="194"/>
      <c r="BF76" s="194"/>
      <c r="BG76" s="194"/>
      <c r="BH76" s="194"/>
      <c r="BI76" s="194"/>
      <c r="BJ76" s="194"/>
      <c r="BK76" s="194"/>
      <c r="BL76" s="194"/>
      <c r="BM76" s="194"/>
      <c r="BN76" s="194"/>
      <c r="BO76" s="194"/>
      <c r="BP76" s="194"/>
      <c r="BQ76" s="47"/>
      <c r="BR76" s="194"/>
      <c r="BS76" s="47"/>
      <c r="BT76" s="47"/>
      <c r="BU76" s="47"/>
      <c r="BV76" s="47"/>
      <c r="BW76" s="47"/>
      <c r="BX76" s="194"/>
      <c r="BY76" s="194"/>
      <c r="BZ76" s="194"/>
      <c r="CA76" s="194"/>
      <c r="CB76" s="194"/>
      <c r="CC76" s="47"/>
      <c r="CD76" s="47"/>
      <c r="CE76" s="47"/>
      <c r="CF76" s="47"/>
      <c r="CG76" s="47"/>
      <c r="CH76" s="47"/>
      <c r="CI76" s="47"/>
      <c r="CJ76" s="47"/>
      <c r="CK76" s="194"/>
      <c r="CL76" s="194">
        <v>21</v>
      </c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194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>
        <v>7.8</v>
      </c>
      <c r="DU76" s="47"/>
      <c r="DV76" s="47"/>
      <c r="DW76" s="198"/>
      <c r="DX76" s="47"/>
      <c r="DY76" s="194"/>
      <c r="DZ76" s="198"/>
      <c r="EA76" s="47"/>
      <c r="EB76" s="194"/>
      <c r="EC76" s="47"/>
      <c r="ED76" s="195"/>
      <c r="EE76" s="195"/>
      <c r="EF76" s="195"/>
      <c r="EG76" s="195"/>
      <c r="EH76" s="195"/>
      <c r="EI76" s="196"/>
      <c r="EJ76" s="201"/>
      <c r="EK76" s="202"/>
      <c r="FA76" s="251">
        <f t="shared" ref="FA76:FA147" si="6">H76</f>
        <v>15.066000000000001</v>
      </c>
    </row>
    <row r="77" spans="1:157" s="89" customFormat="1" ht="20.149999999999999" customHeight="1" x14ac:dyDescent="0.35">
      <c r="A77" s="2"/>
      <c r="B77" s="47" t="s">
        <v>1650</v>
      </c>
      <c r="C77" s="47" t="s">
        <v>1651</v>
      </c>
      <c r="D77" s="252" t="s">
        <v>636</v>
      </c>
      <c r="E77" s="2" t="s">
        <v>33</v>
      </c>
      <c r="F77" s="2" t="s">
        <v>1648</v>
      </c>
      <c r="G77" s="2" t="s">
        <v>37</v>
      </c>
      <c r="H77" s="57">
        <f t="shared" si="5"/>
        <v>15.066000000000001</v>
      </c>
      <c r="I77" s="47"/>
      <c r="J77" s="47"/>
      <c r="K77" s="47"/>
      <c r="L77" s="47"/>
      <c r="M77" s="47"/>
      <c r="N77" s="194"/>
      <c r="O77" s="194"/>
      <c r="P77" s="194"/>
      <c r="Q77" s="194"/>
      <c r="R77" s="47"/>
      <c r="S77" s="194"/>
      <c r="T77" s="47"/>
      <c r="U77" s="194"/>
      <c r="V77" s="47"/>
      <c r="W77" s="194"/>
      <c r="X77" s="47"/>
      <c r="Y77" s="194"/>
      <c r="Z77" s="194"/>
      <c r="AA77" s="47"/>
      <c r="AB77" s="47"/>
      <c r="AC77" s="47"/>
      <c r="AD77" s="47"/>
      <c r="AE77" s="194"/>
      <c r="AF77" s="194"/>
      <c r="AG77" s="194"/>
      <c r="AI77" s="47"/>
      <c r="AJ77" s="223"/>
      <c r="AK77" s="47"/>
      <c r="AL77" s="47"/>
      <c r="AM77" s="47"/>
      <c r="AN77" s="47"/>
      <c r="AO77" s="47"/>
      <c r="AP77" s="194"/>
      <c r="AQ77" s="47"/>
      <c r="AR77" s="47"/>
      <c r="AS77" s="47"/>
      <c r="AT77" s="194"/>
      <c r="AU77" s="194"/>
      <c r="AV77" s="194"/>
      <c r="AW77" s="194"/>
      <c r="AX77" s="194"/>
      <c r="AY77" s="194"/>
      <c r="AZ77" s="194"/>
      <c r="BA77" s="194"/>
      <c r="BB77" s="194"/>
      <c r="BC77" s="194"/>
      <c r="BD77" s="194"/>
      <c r="BE77" s="194"/>
      <c r="BF77" s="194"/>
      <c r="BG77" s="194"/>
      <c r="BH77" s="194"/>
      <c r="BI77" s="194"/>
      <c r="BJ77" s="194"/>
      <c r="BK77" s="194"/>
      <c r="BL77" s="194"/>
      <c r="BM77" s="194"/>
      <c r="BN77" s="194"/>
      <c r="BO77" s="194"/>
      <c r="BP77" s="194"/>
      <c r="BQ77" s="47"/>
      <c r="BR77" s="194"/>
      <c r="BS77" s="47"/>
      <c r="BT77" s="47"/>
      <c r="BU77" s="47"/>
      <c r="BV77" s="47"/>
      <c r="BW77" s="47"/>
      <c r="BX77" s="194"/>
      <c r="BY77" s="194"/>
      <c r="BZ77" s="194"/>
      <c r="CA77" s="194"/>
      <c r="CB77" s="194"/>
      <c r="CC77" s="47"/>
      <c r="CD77" s="47"/>
      <c r="CE77" s="47"/>
      <c r="CF77" s="47"/>
      <c r="CG77" s="47"/>
      <c r="CH77" s="47"/>
      <c r="CI77" s="47"/>
      <c r="CJ77" s="47"/>
      <c r="CK77" s="194"/>
      <c r="CL77" s="194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194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198"/>
      <c r="DX77" s="47"/>
      <c r="DY77" s="194"/>
      <c r="DZ77" s="198"/>
      <c r="EA77" s="47"/>
      <c r="EB77" s="194"/>
      <c r="EC77" s="47"/>
      <c r="ED77" s="195"/>
      <c r="EE77" s="195"/>
      <c r="EF77" s="195"/>
      <c r="EG77" s="195"/>
      <c r="EH77" s="195"/>
      <c r="EI77" s="196"/>
      <c r="EJ77" s="201"/>
      <c r="EK77" s="202"/>
      <c r="FA77" s="251"/>
    </row>
    <row r="78" spans="1:157" s="89" customFormat="1" ht="20.149999999999999" customHeight="1" x14ac:dyDescent="0.35">
      <c r="A78" s="2"/>
      <c r="B78" s="47" t="s">
        <v>1652</v>
      </c>
      <c r="C78" s="47" t="s">
        <v>1653</v>
      </c>
      <c r="D78" s="252" t="s">
        <v>636</v>
      </c>
      <c r="E78" s="2" t="s">
        <v>33</v>
      </c>
      <c r="F78" s="2" t="s">
        <v>1648</v>
      </c>
      <c r="G78" s="2" t="s">
        <v>37</v>
      </c>
      <c r="H78" s="57">
        <f t="shared" si="5"/>
        <v>15.066000000000001</v>
      </c>
      <c r="I78" s="47"/>
      <c r="J78" s="47"/>
      <c r="K78" s="47"/>
      <c r="L78" s="47"/>
      <c r="M78" s="47"/>
      <c r="N78" s="194"/>
      <c r="O78" s="194"/>
      <c r="P78" s="194"/>
      <c r="Q78" s="194"/>
      <c r="R78" s="47"/>
      <c r="S78" s="194"/>
      <c r="T78" s="47"/>
      <c r="U78" s="194"/>
      <c r="V78" s="47"/>
      <c r="W78" s="194"/>
      <c r="X78" s="47"/>
      <c r="Y78" s="194"/>
      <c r="Z78" s="194"/>
      <c r="AA78" s="47"/>
      <c r="AB78" s="47"/>
      <c r="AC78" s="47"/>
      <c r="AD78" s="47"/>
      <c r="AE78" s="194"/>
      <c r="AF78" s="194"/>
      <c r="AG78" s="194"/>
      <c r="AI78" s="47"/>
      <c r="AJ78" s="223"/>
      <c r="AK78" s="47"/>
      <c r="AL78" s="47"/>
      <c r="AM78" s="47"/>
      <c r="AN78" s="47"/>
      <c r="AO78" s="47"/>
      <c r="AP78" s="194"/>
      <c r="AQ78" s="47"/>
      <c r="AR78" s="47"/>
      <c r="AS78" s="47"/>
      <c r="AT78" s="194"/>
      <c r="AU78" s="194"/>
      <c r="AV78" s="194"/>
      <c r="AW78" s="194"/>
      <c r="AX78" s="194"/>
      <c r="AY78" s="194"/>
      <c r="AZ78" s="194"/>
      <c r="BA78" s="194"/>
      <c r="BB78" s="194"/>
      <c r="BC78" s="194"/>
      <c r="BD78" s="194"/>
      <c r="BE78" s="194"/>
      <c r="BF78" s="194"/>
      <c r="BG78" s="194"/>
      <c r="BH78" s="194"/>
      <c r="BI78" s="194"/>
      <c r="BJ78" s="194"/>
      <c r="BK78" s="194"/>
      <c r="BL78" s="194"/>
      <c r="BM78" s="194"/>
      <c r="BN78" s="194"/>
      <c r="BO78" s="194"/>
      <c r="BP78" s="194"/>
      <c r="BQ78" s="47"/>
      <c r="BR78" s="194"/>
      <c r="BS78" s="47"/>
      <c r="BT78" s="47"/>
      <c r="BU78" s="47"/>
      <c r="BV78" s="47"/>
      <c r="BW78" s="47"/>
      <c r="BX78" s="194"/>
      <c r="BY78" s="194"/>
      <c r="BZ78" s="194"/>
      <c r="CA78" s="194"/>
      <c r="CB78" s="194"/>
      <c r="CC78" s="47"/>
      <c r="CD78" s="47"/>
      <c r="CE78" s="47"/>
      <c r="CF78" s="47"/>
      <c r="CG78" s="47"/>
      <c r="CH78" s="47"/>
      <c r="CI78" s="47"/>
      <c r="CJ78" s="47"/>
      <c r="CK78" s="194"/>
      <c r="CL78" s="194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194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198"/>
      <c r="DX78" s="47"/>
      <c r="DY78" s="194"/>
      <c r="DZ78" s="198"/>
      <c r="EA78" s="47"/>
      <c r="EB78" s="194"/>
      <c r="EC78" s="47"/>
      <c r="ED78" s="195"/>
      <c r="EE78" s="195"/>
      <c r="EF78" s="195"/>
      <c r="EG78" s="195"/>
      <c r="EH78" s="195"/>
      <c r="EI78" s="196"/>
      <c r="EJ78" s="201"/>
      <c r="EK78" s="202"/>
      <c r="FA78" s="251"/>
    </row>
    <row r="79" spans="1:157" s="89" customFormat="1" ht="20.149999999999999" customHeight="1" x14ac:dyDescent="0.35">
      <c r="A79" s="2"/>
      <c r="B79" s="47" t="s">
        <v>1654</v>
      </c>
      <c r="C79" s="47" t="s">
        <v>1655</v>
      </c>
      <c r="D79" s="252" t="s">
        <v>636</v>
      </c>
      <c r="E79" s="2" t="s">
        <v>33</v>
      </c>
      <c r="F79" s="2" t="s">
        <v>1648</v>
      </c>
      <c r="G79" s="2" t="s">
        <v>37</v>
      </c>
      <c r="H79" s="57">
        <f t="shared" si="5"/>
        <v>15.066000000000001</v>
      </c>
      <c r="I79" s="47"/>
      <c r="J79" s="47"/>
      <c r="K79" s="47"/>
      <c r="L79" s="47"/>
      <c r="M79" s="47"/>
      <c r="N79" s="194"/>
      <c r="O79" s="194"/>
      <c r="P79" s="194"/>
      <c r="Q79" s="194"/>
      <c r="R79" s="47"/>
      <c r="S79" s="194"/>
      <c r="T79" s="47"/>
      <c r="U79" s="194"/>
      <c r="V79" s="47"/>
      <c r="W79" s="194"/>
      <c r="X79" s="47"/>
      <c r="Y79" s="194"/>
      <c r="Z79" s="194"/>
      <c r="AA79" s="47"/>
      <c r="AB79" s="47"/>
      <c r="AC79" s="47"/>
      <c r="AD79" s="47"/>
      <c r="AE79" s="194"/>
      <c r="AF79" s="194"/>
      <c r="AG79" s="194"/>
      <c r="AI79" s="47"/>
      <c r="AJ79" s="223"/>
      <c r="AK79" s="47"/>
      <c r="AL79" s="47"/>
      <c r="AM79" s="47"/>
      <c r="AN79" s="47"/>
      <c r="AO79" s="47"/>
      <c r="AP79" s="194"/>
      <c r="AQ79" s="47"/>
      <c r="AR79" s="47"/>
      <c r="AS79" s="47"/>
      <c r="AT79" s="194"/>
      <c r="AU79" s="194"/>
      <c r="AV79" s="194"/>
      <c r="AW79" s="194"/>
      <c r="AX79" s="194"/>
      <c r="AY79" s="194"/>
      <c r="AZ79" s="194"/>
      <c r="BA79" s="194"/>
      <c r="BB79" s="194"/>
      <c r="BC79" s="194"/>
      <c r="BD79" s="194"/>
      <c r="BE79" s="194"/>
      <c r="BF79" s="194"/>
      <c r="BG79" s="194"/>
      <c r="BH79" s="194"/>
      <c r="BI79" s="194"/>
      <c r="BJ79" s="194"/>
      <c r="BK79" s="194"/>
      <c r="BL79" s="194"/>
      <c r="BM79" s="194"/>
      <c r="BN79" s="194"/>
      <c r="BO79" s="194"/>
      <c r="BP79" s="194"/>
      <c r="BQ79" s="47"/>
      <c r="BR79" s="194"/>
      <c r="BS79" s="47"/>
      <c r="BT79" s="47"/>
      <c r="BU79" s="47"/>
      <c r="BV79" s="47"/>
      <c r="BW79" s="47"/>
      <c r="BX79" s="194"/>
      <c r="BY79" s="194"/>
      <c r="BZ79" s="194"/>
      <c r="CA79" s="194"/>
      <c r="CB79" s="194"/>
      <c r="CC79" s="47"/>
      <c r="CD79" s="47"/>
      <c r="CE79" s="47"/>
      <c r="CF79" s="47"/>
      <c r="CG79" s="47"/>
      <c r="CH79" s="47"/>
      <c r="CI79" s="47"/>
      <c r="CJ79" s="47"/>
      <c r="CK79" s="194"/>
      <c r="CL79" s="194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194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198"/>
      <c r="DX79" s="47"/>
      <c r="DY79" s="194"/>
      <c r="DZ79" s="198"/>
      <c r="EA79" s="47"/>
      <c r="EB79" s="194"/>
      <c r="EC79" s="47"/>
      <c r="ED79" s="195"/>
      <c r="EE79" s="195"/>
      <c r="EF79" s="195"/>
      <c r="EG79" s="195"/>
      <c r="EH79" s="195"/>
      <c r="EI79" s="196"/>
      <c r="EJ79" s="201"/>
      <c r="EK79" s="202"/>
      <c r="FA79" s="251"/>
    </row>
    <row r="80" spans="1:157" s="89" customFormat="1" ht="20.149999999999999" customHeight="1" x14ac:dyDescent="0.35">
      <c r="A80" s="2"/>
      <c r="B80" s="47" t="s">
        <v>854</v>
      </c>
      <c r="C80" s="47" t="s">
        <v>1656</v>
      </c>
      <c r="D80" s="252" t="s">
        <v>636</v>
      </c>
      <c r="E80" s="2" t="s">
        <v>33</v>
      </c>
      <c r="F80" s="2" t="s">
        <v>1657</v>
      </c>
      <c r="G80" s="2" t="s">
        <v>37</v>
      </c>
      <c r="H80" s="57">
        <f>8.5*1.08</f>
        <v>9.18</v>
      </c>
      <c r="I80" s="47"/>
      <c r="J80" s="47"/>
      <c r="K80" s="47"/>
      <c r="L80" s="47"/>
      <c r="M80" s="47"/>
      <c r="N80" s="194"/>
      <c r="O80" s="194"/>
      <c r="P80" s="194"/>
      <c r="Q80" s="194"/>
      <c r="R80" s="47"/>
      <c r="S80" s="194"/>
      <c r="T80" s="47"/>
      <c r="U80" s="194"/>
      <c r="V80" s="47"/>
      <c r="W80" s="194"/>
      <c r="X80" s="47"/>
      <c r="Y80" s="194"/>
      <c r="Z80" s="194"/>
      <c r="AA80" s="47"/>
      <c r="AB80" s="47"/>
      <c r="AC80" s="47"/>
      <c r="AD80" s="47"/>
      <c r="AE80" s="194"/>
      <c r="AF80" s="194"/>
      <c r="AG80" s="194"/>
      <c r="AI80" s="47"/>
      <c r="AJ80" s="223"/>
      <c r="AK80" s="47"/>
      <c r="AL80" s="47"/>
      <c r="AM80" s="47"/>
      <c r="AN80" s="47"/>
      <c r="AO80" s="47"/>
      <c r="AP80" s="194"/>
      <c r="AQ80" s="47"/>
      <c r="AR80" s="47"/>
      <c r="AS80" s="47"/>
      <c r="AT80" s="194"/>
      <c r="AU80" s="194"/>
      <c r="AV80" s="194"/>
      <c r="AW80" s="194"/>
      <c r="AX80" s="194"/>
      <c r="AY80" s="194"/>
      <c r="AZ80" s="194"/>
      <c r="BA80" s="194"/>
      <c r="BB80" s="194"/>
      <c r="BC80" s="194"/>
      <c r="BD80" s="194"/>
      <c r="BE80" s="194"/>
      <c r="BF80" s="194"/>
      <c r="BG80" s="194"/>
      <c r="BH80" s="194"/>
      <c r="BI80" s="194"/>
      <c r="BJ80" s="194"/>
      <c r="BK80" s="194"/>
      <c r="BL80" s="194"/>
      <c r="BM80" s="194"/>
      <c r="BN80" s="194"/>
      <c r="BO80" s="194"/>
      <c r="BP80" s="194"/>
      <c r="BQ80" s="47"/>
      <c r="BR80" s="194"/>
      <c r="BS80" s="47"/>
      <c r="BT80" s="47"/>
      <c r="BU80" s="47"/>
      <c r="BV80" s="47"/>
      <c r="BW80" s="47"/>
      <c r="BX80" s="194"/>
      <c r="BY80" s="194"/>
      <c r="BZ80" s="194"/>
      <c r="CA80" s="194"/>
      <c r="CB80" s="194"/>
      <c r="CC80" s="47"/>
      <c r="CD80" s="198"/>
      <c r="CE80" s="47"/>
      <c r="CF80" s="47"/>
      <c r="CG80" s="47"/>
      <c r="CH80" s="47"/>
      <c r="CI80" s="47">
        <v>23</v>
      </c>
      <c r="CJ80" s="47"/>
      <c r="CK80" s="194"/>
      <c r="CL80" s="194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194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198"/>
      <c r="DX80" s="47"/>
      <c r="DY80" s="194"/>
      <c r="DZ80" s="198"/>
      <c r="EA80" s="47"/>
      <c r="EB80" s="194"/>
      <c r="EC80" s="47"/>
      <c r="ED80" s="195"/>
      <c r="EE80" s="195"/>
      <c r="EF80" s="195"/>
      <c r="EG80" s="195"/>
      <c r="EH80" s="195">
        <v>1</v>
      </c>
      <c r="EI80" s="196">
        <f t="shared" si="2"/>
        <v>9.18</v>
      </c>
      <c r="EJ80" s="201">
        <f t="shared" si="3"/>
        <v>11.6586</v>
      </c>
      <c r="EK80" s="202">
        <f>AVERAGE(I80:EC80)</f>
        <v>23</v>
      </c>
      <c r="FA80" s="251">
        <f t="shared" si="6"/>
        <v>9.18</v>
      </c>
    </row>
    <row r="81" spans="1:157" s="89" customFormat="1" ht="20.149999999999999" customHeight="1" x14ac:dyDescent="0.35">
      <c r="A81" s="2"/>
      <c r="B81" s="47" t="s">
        <v>1251</v>
      </c>
      <c r="C81" s="47" t="s">
        <v>1658</v>
      </c>
      <c r="D81" s="252" t="s">
        <v>636</v>
      </c>
      <c r="E81" s="2" t="s">
        <v>33</v>
      </c>
      <c r="F81" s="2" t="s">
        <v>1657</v>
      </c>
      <c r="G81" s="2" t="s">
        <v>37</v>
      </c>
      <c r="H81" s="57">
        <f t="shared" ref="H81:H83" si="7">8.5*1.08</f>
        <v>9.18</v>
      </c>
      <c r="I81" s="47"/>
      <c r="J81" s="47"/>
      <c r="K81" s="47"/>
      <c r="L81" s="47"/>
      <c r="M81" s="47"/>
      <c r="N81" s="194"/>
      <c r="O81" s="194"/>
      <c r="P81" s="194"/>
      <c r="Q81" s="194"/>
      <c r="R81" s="47"/>
      <c r="S81" s="194"/>
      <c r="T81" s="47"/>
      <c r="U81" s="194"/>
      <c r="V81" s="47"/>
      <c r="W81" s="194"/>
      <c r="X81" s="47"/>
      <c r="Y81" s="194"/>
      <c r="Z81" s="194"/>
      <c r="AA81" s="47"/>
      <c r="AB81" s="47"/>
      <c r="AC81" s="47"/>
      <c r="AD81" s="47"/>
      <c r="AE81" s="194"/>
      <c r="AF81" s="194"/>
      <c r="AG81" s="194"/>
      <c r="AI81" s="47"/>
      <c r="AJ81" s="223"/>
      <c r="AK81" s="47"/>
      <c r="AL81" s="47"/>
      <c r="AM81" s="47"/>
      <c r="AN81" s="47"/>
      <c r="AO81" s="47"/>
      <c r="AP81" s="194"/>
      <c r="AQ81" s="47"/>
      <c r="AR81" s="47"/>
      <c r="AS81" s="47"/>
      <c r="AT81" s="194"/>
      <c r="AU81" s="194"/>
      <c r="AV81" s="194"/>
      <c r="AW81" s="194"/>
      <c r="AX81" s="194"/>
      <c r="AY81" s="194"/>
      <c r="AZ81" s="194"/>
      <c r="BA81" s="194"/>
      <c r="BB81" s="194"/>
      <c r="BC81" s="194"/>
      <c r="BD81" s="194"/>
      <c r="BE81" s="194"/>
      <c r="BF81" s="194"/>
      <c r="BG81" s="194"/>
      <c r="BH81" s="194"/>
      <c r="BI81" s="194"/>
      <c r="BJ81" s="194"/>
      <c r="BK81" s="194"/>
      <c r="BL81" s="194"/>
      <c r="BM81" s="194"/>
      <c r="BN81" s="194"/>
      <c r="BO81" s="194"/>
      <c r="BP81" s="194"/>
      <c r="BQ81" s="47"/>
      <c r="BR81" s="194"/>
      <c r="BS81" s="47"/>
      <c r="BT81" s="47"/>
      <c r="BU81" s="47"/>
      <c r="BV81" s="47"/>
      <c r="BW81" s="47"/>
      <c r="BX81" s="194"/>
      <c r="BY81" s="194"/>
      <c r="BZ81" s="194"/>
      <c r="CA81" s="194"/>
      <c r="CB81" s="194"/>
      <c r="CC81" s="47"/>
      <c r="CD81" s="198"/>
      <c r="CE81" s="47"/>
      <c r="CF81" s="47"/>
      <c r="CG81" s="47"/>
      <c r="CH81" s="47"/>
      <c r="CI81" s="47"/>
      <c r="CJ81" s="47"/>
      <c r="CK81" s="194"/>
      <c r="CL81" s="194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194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198"/>
      <c r="DX81" s="47"/>
      <c r="DY81" s="194"/>
      <c r="DZ81" s="198"/>
      <c r="EA81" s="47"/>
      <c r="EB81" s="194"/>
      <c r="EC81" s="47"/>
      <c r="ED81" s="195"/>
      <c r="EE81" s="195"/>
      <c r="EF81" s="195"/>
      <c r="EG81" s="195"/>
      <c r="EH81" s="195"/>
      <c r="EI81" s="196"/>
      <c r="EJ81" s="201"/>
      <c r="EK81" s="202"/>
      <c r="FA81" s="251">
        <f t="shared" si="6"/>
        <v>9.18</v>
      </c>
    </row>
    <row r="82" spans="1:157" s="89" customFormat="1" ht="20.149999999999999" customHeight="1" x14ac:dyDescent="0.35">
      <c r="A82" s="2"/>
      <c r="B82" s="47" t="s">
        <v>1659</v>
      </c>
      <c r="C82" s="47" t="s">
        <v>1660</v>
      </c>
      <c r="D82" s="252" t="s">
        <v>636</v>
      </c>
      <c r="E82" s="2" t="s">
        <v>33</v>
      </c>
      <c r="F82" s="2" t="s">
        <v>1657</v>
      </c>
      <c r="G82" s="2" t="s">
        <v>37</v>
      </c>
      <c r="H82" s="57">
        <f t="shared" si="7"/>
        <v>9.18</v>
      </c>
      <c r="I82" s="47"/>
      <c r="J82" s="47"/>
      <c r="K82" s="47"/>
      <c r="L82" s="47"/>
      <c r="M82" s="47"/>
      <c r="N82" s="194"/>
      <c r="O82" s="194"/>
      <c r="P82" s="194"/>
      <c r="Q82" s="194"/>
      <c r="R82" s="47"/>
      <c r="S82" s="194"/>
      <c r="T82" s="47"/>
      <c r="U82" s="194"/>
      <c r="V82" s="47"/>
      <c r="W82" s="194"/>
      <c r="X82" s="47"/>
      <c r="Y82" s="194"/>
      <c r="Z82" s="194"/>
      <c r="AA82" s="47"/>
      <c r="AB82" s="47"/>
      <c r="AC82" s="47"/>
      <c r="AD82" s="47"/>
      <c r="AE82" s="194"/>
      <c r="AF82" s="194"/>
      <c r="AG82" s="194"/>
      <c r="AI82" s="47"/>
      <c r="AJ82" s="223"/>
      <c r="AK82" s="47"/>
      <c r="AL82" s="47"/>
      <c r="AM82" s="47"/>
      <c r="AN82" s="47"/>
      <c r="AO82" s="47"/>
      <c r="AP82" s="194"/>
      <c r="AQ82" s="47"/>
      <c r="AR82" s="47"/>
      <c r="AS82" s="47"/>
      <c r="AT82" s="194"/>
      <c r="AU82" s="194"/>
      <c r="AV82" s="194"/>
      <c r="AW82" s="194"/>
      <c r="AX82" s="194"/>
      <c r="AY82" s="194"/>
      <c r="AZ82" s="194"/>
      <c r="BA82" s="194"/>
      <c r="BB82" s="194"/>
      <c r="BC82" s="194"/>
      <c r="BD82" s="194"/>
      <c r="BE82" s="194"/>
      <c r="BF82" s="194"/>
      <c r="BG82" s="194"/>
      <c r="BH82" s="194"/>
      <c r="BI82" s="194"/>
      <c r="BJ82" s="194"/>
      <c r="BK82" s="194"/>
      <c r="BL82" s="194"/>
      <c r="BM82" s="194"/>
      <c r="BN82" s="194"/>
      <c r="BO82" s="194"/>
      <c r="BP82" s="194"/>
      <c r="BQ82" s="47"/>
      <c r="BR82" s="194"/>
      <c r="BS82" s="47"/>
      <c r="BT82" s="47"/>
      <c r="BU82" s="47"/>
      <c r="BV82" s="47"/>
      <c r="BW82" s="47"/>
      <c r="BX82" s="194"/>
      <c r="BY82" s="194"/>
      <c r="BZ82" s="194"/>
      <c r="CA82" s="194"/>
      <c r="CB82" s="194"/>
      <c r="CC82" s="47"/>
      <c r="CD82" s="198"/>
      <c r="CE82" s="47"/>
      <c r="CF82" s="47"/>
      <c r="CG82" s="47"/>
      <c r="CH82" s="47"/>
      <c r="CI82" s="47"/>
      <c r="CJ82" s="47"/>
      <c r="CK82" s="194"/>
      <c r="CL82" s="194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194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198"/>
      <c r="DX82" s="47"/>
      <c r="DY82" s="194"/>
      <c r="DZ82" s="198"/>
      <c r="EA82" s="47"/>
      <c r="EB82" s="194"/>
      <c r="EC82" s="47"/>
      <c r="ED82" s="195"/>
      <c r="EE82" s="195"/>
      <c r="EF82" s="195"/>
      <c r="EG82" s="195"/>
      <c r="EH82" s="195"/>
      <c r="EI82" s="196"/>
      <c r="EJ82" s="201"/>
      <c r="EK82" s="202"/>
      <c r="FA82" s="251"/>
    </row>
    <row r="83" spans="1:157" s="89" customFormat="1" ht="20.149999999999999" customHeight="1" x14ac:dyDescent="0.35">
      <c r="A83" s="2"/>
      <c r="B83" s="47" t="s">
        <v>1661</v>
      </c>
      <c r="C83" s="47" t="s">
        <v>1662</v>
      </c>
      <c r="D83" s="252" t="s">
        <v>636</v>
      </c>
      <c r="E83" s="2" t="s">
        <v>33</v>
      </c>
      <c r="F83" s="2" t="s">
        <v>1657</v>
      </c>
      <c r="G83" s="2" t="s">
        <v>37</v>
      </c>
      <c r="H83" s="57">
        <f t="shared" si="7"/>
        <v>9.18</v>
      </c>
      <c r="I83" s="47"/>
      <c r="J83" s="47"/>
      <c r="K83" s="47"/>
      <c r="L83" s="47"/>
      <c r="M83" s="47"/>
      <c r="N83" s="194"/>
      <c r="O83" s="194"/>
      <c r="P83" s="194"/>
      <c r="Q83" s="194"/>
      <c r="R83" s="47"/>
      <c r="S83" s="194"/>
      <c r="T83" s="47"/>
      <c r="U83" s="194"/>
      <c r="V83" s="47"/>
      <c r="W83" s="194"/>
      <c r="X83" s="47"/>
      <c r="Y83" s="194"/>
      <c r="Z83" s="194"/>
      <c r="AA83" s="47"/>
      <c r="AB83" s="47"/>
      <c r="AC83" s="47"/>
      <c r="AD83" s="47"/>
      <c r="AE83" s="194"/>
      <c r="AF83" s="194"/>
      <c r="AG83" s="194"/>
      <c r="AI83" s="47"/>
      <c r="AJ83" s="223"/>
      <c r="AK83" s="47"/>
      <c r="AL83" s="47"/>
      <c r="AM83" s="47"/>
      <c r="AN83" s="47"/>
      <c r="AO83" s="47"/>
      <c r="AP83" s="194"/>
      <c r="AQ83" s="47"/>
      <c r="AR83" s="47"/>
      <c r="AS83" s="47"/>
      <c r="AT83" s="194"/>
      <c r="AU83" s="194"/>
      <c r="AV83" s="194"/>
      <c r="AW83" s="194"/>
      <c r="AX83" s="194"/>
      <c r="AY83" s="194"/>
      <c r="AZ83" s="194"/>
      <c r="BA83" s="194"/>
      <c r="BB83" s="194"/>
      <c r="BC83" s="194"/>
      <c r="BD83" s="194"/>
      <c r="BE83" s="194"/>
      <c r="BF83" s="194"/>
      <c r="BG83" s="194"/>
      <c r="BH83" s="194"/>
      <c r="BI83" s="194"/>
      <c r="BJ83" s="194"/>
      <c r="BK83" s="194"/>
      <c r="BL83" s="194"/>
      <c r="BM83" s="194"/>
      <c r="BN83" s="194"/>
      <c r="BO83" s="194"/>
      <c r="BP83" s="194"/>
      <c r="BQ83" s="47"/>
      <c r="BR83" s="194"/>
      <c r="BS83" s="47"/>
      <c r="BT83" s="47"/>
      <c r="BU83" s="47"/>
      <c r="BV83" s="47"/>
      <c r="BW83" s="47"/>
      <c r="BX83" s="194"/>
      <c r="BY83" s="194"/>
      <c r="BZ83" s="194"/>
      <c r="CA83" s="194"/>
      <c r="CB83" s="194"/>
      <c r="CC83" s="47"/>
      <c r="CD83" s="198"/>
      <c r="CE83" s="47"/>
      <c r="CF83" s="47"/>
      <c r="CG83" s="47"/>
      <c r="CH83" s="47"/>
      <c r="CI83" s="47"/>
      <c r="CJ83" s="47"/>
      <c r="CK83" s="194"/>
      <c r="CL83" s="194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194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198"/>
      <c r="DX83" s="47"/>
      <c r="DY83" s="194"/>
      <c r="DZ83" s="198"/>
      <c r="EA83" s="47"/>
      <c r="EB83" s="194"/>
      <c r="EC83" s="47"/>
      <c r="ED83" s="195"/>
      <c r="EE83" s="195"/>
      <c r="EF83" s="195"/>
      <c r="EG83" s="195"/>
      <c r="EH83" s="195"/>
      <c r="EI83" s="196"/>
      <c r="EJ83" s="201"/>
      <c r="EK83" s="202"/>
      <c r="FA83" s="251"/>
    </row>
    <row r="84" spans="1:157" s="89" customFormat="1" ht="20.149999999999999" customHeight="1" x14ac:dyDescent="0.35">
      <c r="A84" s="47"/>
      <c r="B84" s="189" t="s">
        <v>1169</v>
      </c>
      <c r="C84" s="189" t="s">
        <v>1360</v>
      </c>
      <c r="D84" s="2" t="s">
        <v>636</v>
      </c>
      <c r="E84" s="2" t="s">
        <v>33</v>
      </c>
      <c r="F84" s="2" t="s">
        <v>31</v>
      </c>
      <c r="G84" s="2" t="s">
        <v>35</v>
      </c>
      <c r="H84" s="337">
        <v>5</v>
      </c>
      <c r="I84" s="47"/>
      <c r="J84" s="47"/>
      <c r="K84" s="47"/>
      <c r="L84" s="47"/>
      <c r="M84" s="47"/>
      <c r="N84" s="194"/>
      <c r="O84" s="194"/>
      <c r="P84" s="194"/>
      <c r="Q84" s="194"/>
      <c r="R84" s="47"/>
      <c r="S84" s="194"/>
      <c r="T84" s="47"/>
      <c r="U84" s="194"/>
      <c r="V84" s="47"/>
      <c r="W84" s="194"/>
      <c r="X84" s="47">
        <v>8</v>
      </c>
      <c r="Y84" s="194"/>
      <c r="Z84" s="194"/>
      <c r="AA84" s="47"/>
      <c r="AB84" s="47"/>
      <c r="AC84" s="47"/>
      <c r="AD84" s="47"/>
      <c r="AE84" s="194"/>
      <c r="AF84" s="194"/>
      <c r="AG84" s="194"/>
      <c r="AI84" s="47"/>
      <c r="AJ84" s="198"/>
      <c r="AK84" s="47"/>
      <c r="AL84" s="47"/>
      <c r="AM84" s="47"/>
      <c r="AN84" s="47"/>
      <c r="AO84" s="47"/>
      <c r="AP84" s="194"/>
      <c r="AQ84" s="47"/>
      <c r="AR84" s="47"/>
      <c r="AS84" s="47"/>
      <c r="AT84" s="194"/>
      <c r="AU84" s="194"/>
      <c r="AV84" s="194"/>
      <c r="AW84" s="194"/>
      <c r="AX84" s="194"/>
      <c r="AY84" s="194"/>
      <c r="AZ84" s="194"/>
      <c r="BA84" s="194"/>
      <c r="BB84" s="194"/>
      <c r="BC84" s="194"/>
      <c r="BD84" s="194"/>
      <c r="BE84" s="194"/>
      <c r="BF84" s="194"/>
      <c r="BG84" s="194"/>
      <c r="BH84" s="194"/>
      <c r="BI84" s="194"/>
      <c r="BJ84" s="194"/>
      <c r="BK84" s="194"/>
      <c r="BL84" s="194"/>
      <c r="BM84" s="194"/>
      <c r="BN84" s="194"/>
      <c r="BO84" s="194"/>
      <c r="BP84" s="194"/>
      <c r="BQ84" s="47"/>
      <c r="BR84" s="194"/>
      <c r="BS84" s="47"/>
      <c r="BT84" s="47"/>
      <c r="BU84" s="47"/>
      <c r="BV84" s="47"/>
      <c r="BW84" s="47"/>
      <c r="BX84" s="194"/>
      <c r="BY84" s="194"/>
      <c r="BZ84" s="194"/>
      <c r="CA84" s="194"/>
      <c r="CB84" s="194"/>
      <c r="CC84" s="47"/>
      <c r="CD84" s="47"/>
      <c r="CE84" s="47"/>
      <c r="CF84" s="47"/>
      <c r="CG84" s="47"/>
      <c r="CH84" s="47"/>
      <c r="CI84" s="47"/>
      <c r="CJ84" s="47"/>
      <c r="CK84" s="47"/>
      <c r="CL84" s="194"/>
      <c r="CM84" s="47"/>
      <c r="CN84" s="47"/>
      <c r="CO84" s="47"/>
      <c r="CP84" s="47"/>
      <c r="CQ84" s="47"/>
      <c r="CR84" s="47"/>
      <c r="CS84" s="198"/>
      <c r="CT84" s="47"/>
      <c r="CU84" s="47"/>
      <c r="CV84" s="47"/>
      <c r="CW84" s="47"/>
      <c r="CX84" s="194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198"/>
      <c r="DX84" s="47"/>
      <c r="DY84" s="194"/>
      <c r="DZ84" s="47"/>
      <c r="EA84" s="47"/>
      <c r="EB84" s="194"/>
      <c r="EC84" s="47"/>
      <c r="ED84" s="195"/>
      <c r="EE84" s="195"/>
      <c r="EF84" s="195"/>
      <c r="EG84" s="195"/>
      <c r="EH84" s="195"/>
      <c r="EI84" s="196"/>
      <c r="EJ84" s="201"/>
      <c r="EK84" s="202"/>
      <c r="FA84" s="251">
        <f t="shared" si="6"/>
        <v>5</v>
      </c>
    </row>
    <row r="85" spans="1:157" s="89" customFormat="1" ht="20.149999999999999" customHeight="1" x14ac:dyDescent="0.35">
      <c r="A85" s="47"/>
      <c r="B85" s="189" t="s">
        <v>1170</v>
      </c>
      <c r="C85" s="189" t="s">
        <v>1361</v>
      </c>
      <c r="D85" s="2" t="s">
        <v>636</v>
      </c>
      <c r="E85" s="2" t="s">
        <v>33</v>
      </c>
      <c r="F85" s="2" t="s">
        <v>31</v>
      </c>
      <c r="G85" s="2" t="s">
        <v>35</v>
      </c>
      <c r="H85" s="396">
        <v>5.5</v>
      </c>
      <c r="I85" s="47"/>
      <c r="J85" s="47"/>
      <c r="K85" s="47"/>
      <c r="L85" s="47"/>
      <c r="M85" s="47"/>
      <c r="N85" s="194"/>
      <c r="O85" s="194"/>
      <c r="P85" s="194"/>
      <c r="Q85" s="194"/>
      <c r="R85" s="47"/>
      <c r="S85" s="194"/>
      <c r="T85" s="47"/>
      <c r="U85" s="194"/>
      <c r="V85" s="47"/>
      <c r="W85" s="194"/>
      <c r="X85" s="47">
        <v>8</v>
      </c>
      <c r="Y85" s="194"/>
      <c r="Z85" s="194"/>
      <c r="AA85" s="47"/>
      <c r="AB85" s="47"/>
      <c r="AC85" s="47"/>
      <c r="AD85" s="47"/>
      <c r="AE85" s="194"/>
      <c r="AF85" s="194"/>
      <c r="AG85" s="194"/>
      <c r="AH85" s="355"/>
      <c r="AI85" s="47"/>
      <c r="AJ85" s="198"/>
      <c r="AK85" s="47"/>
      <c r="AL85" s="47"/>
      <c r="AM85" s="47"/>
      <c r="AN85" s="47"/>
      <c r="AO85" s="47"/>
      <c r="AP85" s="194"/>
      <c r="AQ85" s="47"/>
      <c r="AR85" s="47"/>
      <c r="AS85" s="47"/>
      <c r="AT85" s="194"/>
      <c r="AU85" s="194"/>
      <c r="AV85" s="194"/>
      <c r="AW85" s="194"/>
      <c r="AX85" s="194"/>
      <c r="AY85" s="194"/>
      <c r="AZ85" s="194"/>
      <c r="BA85" s="194"/>
      <c r="BB85" s="194"/>
      <c r="BC85" s="194"/>
      <c r="BD85" s="194"/>
      <c r="BE85" s="194"/>
      <c r="BF85" s="194"/>
      <c r="BG85" s="194"/>
      <c r="BH85" s="194"/>
      <c r="BI85" s="194"/>
      <c r="BJ85" s="194"/>
      <c r="BK85" s="194"/>
      <c r="BL85" s="194"/>
      <c r="BM85" s="194"/>
      <c r="BN85" s="194"/>
      <c r="BO85" s="194"/>
      <c r="BP85" s="194"/>
      <c r="BQ85" s="47"/>
      <c r="BR85" s="194"/>
      <c r="BS85" s="47"/>
      <c r="BT85" s="47"/>
      <c r="BU85" s="47"/>
      <c r="BV85" s="47"/>
      <c r="BW85" s="47"/>
      <c r="BX85" s="194"/>
      <c r="BY85" s="194"/>
      <c r="BZ85" s="194"/>
      <c r="CA85" s="194"/>
      <c r="CB85" s="194"/>
      <c r="CC85" s="47"/>
      <c r="CD85" s="47"/>
      <c r="CE85" s="47"/>
      <c r="CF85" s="47"/>
      <c r="CG85" s="47"/>
      <c r="CH85" s="47"/>
      <c r="CI85" s="47"/>
      <c r="CJ85" s="47"/>
      <c r="CK85" s="47"/>
      <c r="CL85" s="194"/>
      <c r="CM85" s="47"/>
      <c r="CN85" s="47"/>
      <c r="CO85" s="47"/>
      <c r="CP85" s="47"/>
      <c r="CQ85" s="47"/>
      <c r="CR85" s="47"/>
      <c r="CS85" s="198"/>
      <c r="CT85" s="47"/>
      <c r="CU85" s="47"/>
      <c r="CV85" s="47"/>
      <c r="CW85" s="47"/>
      <c r="CX85" s="194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198"/>
      <c r="DX85" s="47"/>
      <c r="DY85" s="194"/>
      <c r="DZ85" s="47"/>
      <c r="EA85" s="47"/>
      <c r="EB85" s="194"/>
      <c r="EC85" s="47"/>
      <c r="ED85" s="195"/>
      <c r="EE85" s="195"/>
      <c r="EF85" s="195"/>
      <c r="EG85" s="195"/>
      <c r="EH85" s="195"/>
      <c r="EI85" s="196"/>
      <c r="EJ85" s="201"/>
      <c r="EK85" s="202"/>
      <c r="EL85" s="355">
        <v>7</v>
      </c>
      <c r="FA85" s="251">
        <f t="shared" si="6"/>
        <v>5.5</v>
      </c>
    </row>
    <row r="86" spans="1:157" s="1" customFormat="1" ht="20.149999999999999" customHeight="1" x14ac:dyDescent="0.35">
      <c r="A86" s="47"/>
      <c r="B86" s="47" t="s">
        <v>861</v>
      </c>
      <c r="C86" s="47" t="s">
        <v>1416</v>
      </c>
      <c r="D86" s="252" t="s">
        <v>637</v>
      </c>
      <c r="E86" s="2" t="s">
        <v>33</v>
      </c>
      <c r="F86" s="2" t="s">
        <v>1663</v>
      </c>
      <c r="G86" s="2" t="s">
        <v>32</v>
      </c>
      <c r="H86" s="328">
        <v>93</v>
      </c>
      <c r="I86" s="47"/>
      <c r="J86" s="47"/>
      <c r="K86" s="47"/>
      <c r="L86" s="47"/>
      <c r="M86" s="47"/>
      <c r="N86" s="194"/>
      <c r="O86" s="194"/>
      <c r="P86" s="194"/>
      <c r="Q86" s="194"/>
      <c r="R86" s="47"/>
      <c r="S86" s="194"/>
      <c r="T86" s="47"/>
      <c r="U86" s="194"/>
      <c r="V86" s="47"/>
      <c r="W86" s="194"/>
      <c r="X86" s="47">
        <v>125</v>
      </c>
      <c r="Y86" s="194"/>
      <c r="Z86" s="194"/>
      <c r="AA86" s="47"/>
      <c r="AB86" s="47"/>
      <c r="AC86" s="47"/>
      <c r="AD86" s="47"/>
      <c r="AE86" s="194"/>
      <c r="AF86" s="194"/>
      <c r="AG86" s="194"/>
      <c r="AI86" s="47"/>
      <c r="AJ86" s="198"/>
      <c r="AK86" s="47"/>
      <c r="AL86" s="47"/>
      <c r="AM86" s="47"/>
      <c r="AN86" s="47"/>
      <c r="AO86" s="47"/>
      <c r="AP86" s="194"/>
      <c r="AQ86" s="47"/>
      <c r="AR86" s="47"/>
      <c r="AS86" s="47"/>
      <c r="AT86" s="194"/>
      <c r="AU86" s="194"/>
      <c r="AV86" s="194"/>
      <c r="AW86" s="194"/>
      <c r="AX86" s="194"/>
      <c r="AY86" s="194"/>
      <c r="AZ86" s="194"/>
      <c r="BA86" s="194"/>
      <c r="BB86" s="194"/>
      <c r="BC86" s="194"/>
      <c r="BD86" s="194"/>
      <c r="BE86" s="194"/>
      <c r="BF86" s="194"/>
      <c r="BG86" s="194"/>
      <c r="BH86" s="194"/>
      <c r="BI86" s="194"/>
      <c r="BJ86" s="194"/>
      <c r="BK86" s="194"/>
      <c r="BL86" s="194"/>
      <c r="BM86" s="194"/>
      <c r="BN86" s="194"/>
      <c r="BO86" s="47"/>
      <c r="BP86" s="194"/>
      <c r="BQ86" s="47"/>
      <c r="BR86" s="194"/>
      <c r="BS86" s="47"/>
      <c r="BT86" s="47"/>
      <c r="BU86" s="47"/>
      <c r="BV86" s="47"/>
      <c r="BW86" s="47"/>
      <c r="BX86" s="194"/>
      <c r="BY86" s="194"/>
      <c r="BZ86" s="194"/>
      <c r="CA86" s="47"/>
      <c r="CB86" s="194"/>
      <c r="CC86" s="47"/>
      <c r="CD86" s="47"/>
      <c r="CE86" s="47"/>
      <c r="CF86" s="47"/>
      <c r="CG86" s="47"/>
      <c r="CH86" s="47"/>
      <c r="CI86" s="47"/>
      <c r="CJ86" s="47"/>
      <c r="CK86" s="47"/>
      <c r="CL86" s="194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194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198"/>
      <c r="DX86" s="47"/>
      <c r="DY86" s="194"/>
      <c r="DZ86" s="47"/>
      <c r="EA86" s="47"/>
      <c r="EB86" s="194"/>
      <c r="EC86" s="47"/>
      <c r="ED86" s="195"/>
      <c r="EE86" s="195"/>
      <c r="EF86" s="195"/>
      <c r="EG86" s="195"/>
      <c r="EH86" s="195">
        <v>6</v>
      </c>
      <c r="EI86" s="196">
        <f t="shared" si="2"/>
        <v>558</v>
      </c>
      <c r="EJ86" s="201">
        <f t="shared" si="3"/>
        <v>118.11</v>
      </c>
      <c r="EK86" s="202">
        <v>0</v>
      </c>
      <c r="FA86" s="251">
        <f t="shared" si="6"/>
        <v>93</v>
      </c>
    </row>
    <row r="87" spans="1:157" s="1" customFormat="1" ht="20.149999999999999" customHeight="1" x14ac:dyDescent="0.35">
      <c r="A87" s="47"/>
      <c r="B87" s="47" t="s">
        <v>863</v>
      </c>
      <c r="C87" s="47" t="s">
        <v>1416</v>
      </c>
      <c r="D87" s="252" t="s">
        <v>637</v>
      </c>
      <c r="E87" s="2" t="s">
        <v>33</v>
      </c>
      <c r="F87" s="2" t="s">
        <v>1664</v>
      </c>
      <c r="G87" s="2" t="s">
        <v>91</v>
      </c>
      <c r="H87" s="328">
        <f>H86/10*2</f>
        <v>18.600000000000001</v>
      </c>
      <c r="I87" s="47"/>
      <c r="J87" s="47"/>
      <c r="K87" s="47"/>
      <c r="L87" s="47"/>
      <c r="M87" s="47">
        <v>27</v>
      </c>
      <c r="N87" s="194"/>
      <c r="O87" s="194"/>
      <c r="P87" s="194"/>
      <c r="Q87" s="194"/>
      <c r="R87" s="47"/>
      <c r="S87" s="194"/>
      <c r="T87" s="47"/>
      <c r="U87" s="194"/>
      <c r="V87" s="47"/>
      <c r="W87" s="194"/>
      <c r="X87" s="47">
        <v>26</v>
      </c>
      <c r="Y87" s="194"/>
      <c r="Z87" s="194"/>
      <c r="AA87" s="47"/>
      <c r="AB87" s="47"/>
      <c r="AC87" s="47"/>
      <c r="AD87" s="47">
        <v>30</v>
      </c>
      <c r="AE87" s="194"/>
      <c r="AF87" s="194"/>
      <c r="AG87" s="194"/>
      <c r="AI87" s="47"/>
      <c r="AJ87" s="198"/>
      <c r="AK87" s="47"/>
      <c r="AL87" s="47"/>
      <c r="AM87" s="47"/>
      <c r="AN87" s="47"/>
      <c r="AO87" s="47"/>
      <c r="AP87" s="194"/>
      <c r="AQ87" s="47"/>
      <c r="AR87" s="47">
        <v>27</v>
      </c>
      <c r="AS87" s="47"/>
      <c r="AT87" s="194"/>
      <c r="AU87" s="194"/>
      <c r="AV87" s="194"/>
      <c r="AW87" s="194">
        <v>30</v>
      </c>
      <c r="AX87" s="194"/>
      <c r="AY87" s="194"/>
      <c r="AZ87" s="194"/>
      <c r="BA87" s="194"/>
      <c r="BB87" s="194"/>
      <c r="BC87" s="194"/>
      <c r="BD87" s="194"/>
      <c r="BE87" s="194"/>
      <c r="BF87" s="194"/>
      <c r="BG87" s="194"/>
      <c r="BH87" s="194"/>
      <c r="BI87" s="194"/>
      <c r="BJ87" s="194"/>
      <c r="BK87" s="194"/>
      <c r="BL87" s="194"/>
      <c r="BM87" s="194">
        <v>26</v>
      </c>
      <c r="BN87" s="194"/>
      <c r="BO87" s="47">
        <v>27</v>
      </c>
      <c r="BP87" s="194"/>
      <c r="BQ87" s="47"/>
      <c r="BR87" s="194"/>
      <c r="BS87" s="47"/>
      <c r="BT87" s="47"/>
      <c r="BU87" s="47">
        <v>27</v>
      </c>
      <c r="BV87" s="47"/>
      <c r="BW87" s="47"/>
      <c r="BX87" s="194"/>
      <c r="BY87" s="194"/>
      <c r="BZ87" s="194"/>
      <c r="CA87" s="47"/>
      <c r="CB87" s="194"/>
      <c r="CC87" s="47"/>
      <c r="CD87" s="47"/>
      <c r="CE87" s="47"/>
      <c r="CF87" s="47"/>
      <c r="CG87" s="47"/>
      <c r="CH87" s="47"/>
      <c r="CI87" s="47"/>
      <c r="CJ87" s="47"/>
      <c r="CK87" s="47"/>
      <c r="CL87" s="194"/>
      <c r="CM87" s="47"/>
      <c r="CN87" s="47"/>
      <c r="CO87" s="47"/>
      <c r="CP87" s="47"/>
      <c r="CQ87" s="47"/>
      <c r="CR87" s="47"/>
      <c r="CS87" s="47"/>
      <c r="CT87" s="47"/>
      <c r="CU87" s="47"/>
      <c r="CV87" s="47">
        <v>28</v>
      </c>
      <c r="CW87" s="47"/>
      <c r="CX87" s="194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>
        <v>30</v>
      </c>
      <c r="DS87" s="47"/>
      <c r="DT87" s="47"/>
      <c r="DU87" s="47"/>
      <c r="DV87" s="47"/>
      <c r="DW87" s="198"/>
      <c r="DX87" s="47"/>
      <c r="DY87" s="194"/>
      <c r="DZ87" s="47"/>
      <c r="EA87" s="47"/>
      <c r="EB87" s="194"/>
      <c r="EC87" s="47"/>
      <c r="ED87" s="195"/>
      <c r="EE87" s="195"/>
      <c r="EF87" s="195"/>
      <c r="EG87" s="195"/>
      <c r="EH87" s="195">
        <v>20</v>
      </c>
      <c r="EI87" s="196">
        <f t="shared" si="2"/>
        <v>372</v>
      </c>
      <c r="EJ87" s="201">
        <f t="shared" si="3"/>
        <v>23.622000000000003</v>
      </c>
      <c r="EK87" s="202">
        <v>24</v>
      </c>
      <c r="FA87" s="251">
        <f t="shared" si="6"/>
        <v>18.600000000000001</v>
      </c>
    </row>
    <row r="88" spans="1:157" s="1" customFormat="1" ht="20.149999999999999" customHeight="1" x14ac:dyDescent="0.35">
      <c r="A88" s="47"/>
      <c r="B88" s="47" t="s">
        <v>864</v>
      </c>
      <c r="C88" s="47" t="s">
        <v>1416</v>
      </c>
      <c r="D88" s="252" t="s">
        <v>637</v>
      </c>
      <c r="E88" s="2" t="s">
        <v>33</v>
      </c>
      <c r="F88" s="2" t="s">
        <v>1665</v>
      </c>
      <c r="G88" s="2" t="s">
        <v>91</v>
      </c>
      <c r="H88" s="328">
        <f>H87/4</f>
        <v>4.6500000000000004</v>
      </c>
      <c r="I88" s="47"/>
      <c r="J88" s="47"/>
      <c r="K88" s="47"/>
      <c r="L88" s="47"/>
      <c r="M88" s="47"/>
      <c r="N88" s="194"/>
      <c r="O88" s="194"/>
      <c r="P88" s="194"/>
      <c r="Q88" s="194"/>
      <c r="R88" s="47"/>
      <c r="S88" s="194"/>
      <c r="T88" s="47"/>
      <c r="U88" s="194"/>
      <c r="V88" s="47"/>
      <c r="W88" s="194"/>
      <c r="X88" s="47"/>
      <c r="Y88" s="194"/>
      <c r="Z88" s="194"/>
      <c r="AA88" s="47"/>
      <c r="AB88" s="47"/>
      <c r="AC88" s="47"/>
      <c r="AD88" s="47"/>
      <c r="AE88" s="194"/>
      <c r="AF88" s="194"/>
      <c r="AG88" s="194"/>
      <c r="AI88" s="47"/>
      <c r="AJ88" s="198"/>
      <c r="AK88" s="47"/>
      <c r="AL88" s="47"/>
      <c r="AM88" s="47"/>
      <c r="AN88" s="47"/>
      <c r="AO88" s="47"/>
      <c r="AP88" s="194"/>
      <c r="AQ88" s="47"/>
      <c r="AR88" s="47"/>
      <c r="AS88" s="47"/>
      <c r="AT88" s="194"/>
      <c r="AU88" s="194"/>
      <c r="AV88" s="194"/>
      <c r="AW88" s="194"/>
      <c r="AX88" s="194"/>
      <c r="AY88" s="194"/>
      <c r="AZ88" s="194"/>
      <c r="BA88" s="194"/>
      <c r="BB88" s="194"/>
      <c r="BC88" s="194"/>
      <c r="BD88" s="194"/>
      <c r="BE88" s="194"/>
      <c r="BF88" s="194"/>
      <c r="BG88" s="194"/>
      <c r="BH88" s="194"/>
      <c r="BI88" s="194"/>
      <c r="BJ88" s="194"/>
      <c r="BK88" s="194"/>
      <c r="BL88" s="194"/>
      <c r="BM88" s="194"/>
      <c r="BN88" s="194"/>
      <c r="BO88" s="47"/>
      <c r="BP88" s="194"/>
      <c r="BQ88" s="47"/>
      <c r="BR88" s="194"/>
      <c r="BS88" s="47"/>
      <c r="BT88" s="47"/>
      <c r="BU88" s="47"/>
      <c r="BV88" s="47"/>
      <c r="BW88" s="47"/>
      <c r="BX88" s="194"/>
      <c r="BY88" s="194"/>
      <c r="BZ88" s="194"/>
      <c r="CA88" s="47"/>
      <c r="CB88" s="194"/>
      <c r="CC88" s="47"/>
      <c r="CD88" s="47"/>
      <c r="CE88" s="47"/>
      <c r="CF88" s="47"/>
      <c r="CG88" s="47"/>
      <c r="CH88" s="47"/>
      <c r="CI88" s="47"/>
      <c r="CJ88" s="47"/>
      <c r="CK88" s="47"/>
      <c r="CL88" s="194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194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198"/>
      <c r="DX88" s="47"/>
      <c r="DY88" s="194"/>
      <c r="DZ88" s="47"/>
      <c r="EA88" s="47"/>
      <c r="EB88" s="194"/>
      <c r="EC88" s="47"/>
      <c r="ED88" s="195"/>
      <c r="EE88" s="195"/>
      <c r="EF88" s="195"/>
      <c r="EG88" s="195"/>
      <c r="EH88" s="195"/>
      <c r="EI88" s="196">
        <f t="shared" si="2"/>
        <v>0</v>
      </c>
      <c r="EJ88" s="201">
        <f t="shared" si="3"/>
        <v>5.9055000000000009</v>
      </c>
      <c r="EK88" s="202">
        <v>0</v>
      </c>
      <c r="FA88" s="251">
        <f t="shared" si="6"/>
        <v>4.6500000000000004</v>
      </c>
    </row>
    <row r="89" spans="1:157" s="1" customFormat="1" ht="20.149999999999999" customHeight="1" x14ac:dyDescent="0.35">
      <c r="A89" s="2"/>
      <c r="B89" s="47" t="s">
        <v>865</v>
      </c>
      <c r="C89" s="47" t="s">
        <v>1666</v>
      </c>
      <c r="D89" s="47"/>
      <c r="E89" s="2" t="s">
        <v>323</v>
      </c>
      <c r="F89" s="2" t="s">
        <v>31</v>
      </c>
      <c r="G89" s="2" t="s">
        <v>37</v>
      </c>
      <c r="H89" s="328">
        <v>27.5</v>
      </c>
      <c r="I89" s="47"/>
      <c r="J89" s="47"/>
      <c r="K89" s="47"/>
      <c r="L89" s="47"/>
      <c r="M89" s="47"/>
      <c r="N89" s="194"/>
      <c r="O89" s="194"/>
      <c r="P89" s="194"/>
      <c r="Q89" s="194"/>
      <c r="R89" s="47"/>
      <c r="S89" s="194"/>
      <c r="T89" s="47"/>
      <c r="U89" s="194"/>
      <c r="V89" s="47"/>
      <c r="W89" s="194"/>
      <c r="X89" s="47"/>
      <c r="Y89" s="194"/>
      <c r="Z89" s="194"/>
      <c r="AA89" s="47"/>
      <c r="AB89" s="47"/>
      <c r="AC89" s="47"/>
      <c r="AD89" s="47"/>
      <c r="AE89" s="194"/>
      <c r="AF89" s="194"/>
      <c r="AG89" s="194"/>
      <c r="AI89" s="47"/>
      <c r="AJ89" s="223"/>
      <c r="AK89" s="47"/>
      <c r="AL89" s="47"/>
      <c r="AM89" s="47"/>
      <c r="AN89" s="47"/>
      <c r="AO89" s="47"/>
      <c r="AP89" s="194"/>
      <c r="AQ89" s="47"/>
      <c r="AR89" s="47">
        <v>42</v>
      </c>
      <c r="AS89" s="47"/>
      <c r="AT89" s="194"/>
      <c r="AU89" s="194"/>
      <c r="AV89" s="194"/>
      <c r="AW89" s="194">
        <v>40</v>
      </c>
      <c r="AX89" s="194"/>
      <c r="AY89" s="194"/>
      <c r="AZ89" s="194"/>
      <c r="BA89" s="194"/>
      <c r="BB89" s="194"/>
      <c r="BC89" s="194"/>
      <c r="BD89" s="194"/>
      <c r="BE89" s="194"/>
      <c r="BF89" s="194"/>
      <c r="BG89" s="194"/>
      <c r="BH89" s="194"/>
      <c r="BI89" s="194"/>
      <c r="BJ89" s="194"/>
      <c r="BK89" s="194"/>
      <c r="BL89" s="194"/>
      <c r="BM89" s="194"/>
      <c r="BN89" s="194"/>
      <c r="BO89" s="194"/>
      <c r="BP89" s="194"/>
      <c r="BQ89" s="47"/>
      <c r="BR89" s="194"/>
      <c r="BS89" s="47"/>
      <c r="BT89" s="47"/>
      <c r="BU89" s="47"/>
      <c r="BV89" s="47"/>
      <c r="BW89" s="47"/>
      <c r="BX89" s="194"/>
      <c r="BY89" s="194"/>
      <c r="BZ89" s="194">
        <v>42</v>
      </c>
      <c r="CA89" s="194"/>
      <c r="CB89" s="194"/>
      <c r="CC89" s="47"/>
      <c r="CD89" s="47"/>
      <c r="CE89" s="47"/>
      <c r="CF89" s="47"/>
      <c r="CG89" s="47"/>
      <c r="CH89" s="47"/>
      <c r="CI89" s="47">
        <v>42</v>
      </c>
      <c r="CJ89" s="47"/>
      <c r="CK89" s="224"/>
      <c r="CL89" s="194"/>
      <c r="CM89" s="47"/>
      <c r="CN89" s="47"/>
      <c r="CO89" s="47">
        <v>42</v>
      </c>
      <c r="CP89" s="47">
        <v>42</v>
      </c>
      <c r="CQ89" s="47"/>
      <c r="CR89" s="47"/>
      <c r="CS89" s="47"/>
      <c r="CT89" s="47"/>
      <c r="CU89" s="47"/>
      <c r="CV89" s="47"/>
      <c r="CW89" s="47"/>
      <c r="CX89" s="194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>
        <v>48</v>
      </c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198"/>
      <c r="DX89" s="47"/>
      <c r="DY89" s="194"/>
      <c r="DZ89" s="47"/>
      <c r="EA89" s="47"/>
      <c r="EB89" s="194"/>
      <c r="EC89" s="47"/>
      <c r="ED89" s="195"/>
      <c r="EE89" s="195"/>
      <c r="EF89" s="195"/>
      <c r="EG89" s="195"/>
      <c r="EH89" s="195">
        <v>11</v>
      </c>
      <c r="EI89" s="196">
        <f t="shared" si="2"/>
        <v>302.5</v>
      </c>
      <c r="EJ89" s="201">
        <f t="shared" si="3"/>
        <v>34.924999999999997</v>
      </c>
      <c r="EK89" s="202">
        <v>35</v>
      </c>
      <c r="FA89" s="251">
        <f t="shared" si="6"/>
        <v>27.5</v>
      </c>
    </row>
    <row r="90" spans="1:157" s="1" customFormat="1" ht="20.149999999999999" customHeight="1" x14ac:dyDescent="0.35">
      <c r="A90" s="48"/>
      <c r="B90" s="47" t="s">
        <v>866</v>
      </c>
      <c r="C90" s="47" t="s">
        <v>1666</v>
      </c>
      <c r="D90" s="2" t="s">
        <v>639</v>
      </c>
      <c r="E90" s="2" t="s">
        <v>323</v>
      </c>
      <c r="F90" s="2" t="s">
        <v>1667</v>
      </c>
      <c r="G90" s="2" t="s">
        <v>37</v>
      </c>
      <c r="H90" s="328">
        <f>H89/1000*42*10</f>
        <v>11.55</v>
      </c>
      <c r="I90" s="47"/>
      <c r="J90" s="47">
        <v>28</v>
      </c>
      <c r="K90" s="47"/>
      <c r="L90" s="47">
        <v>28</v>
      </c>
      <c r="M90" s="47"/>
      <c r="N90" s="194"/>
      <c r="O90" s="194"/>
      <c r="P90" s="194"/>
      <c r="Q90" s="194"/>
      <c r="R90" s="47"/>
      <c r="S90" s="194">
        <v>25</v>
      </c>
      <c r="T90" s="47"/>
      <c r="U90" s="194"/>
      <c r="V90" s="47"/>
      <c r="W90" s="194"/>
      <c r="X90" s="47">
        <v>26</v>
      </c>
      <c r="Y90" s="194"/>
      <c r="Z90" s="194"/>
      <c r="AA90" s="47"/>
      <c r="AB90" s="47">
        <v>28</v>
      </c>
      <c r="AC90" s="47"/>
      <c r="AD90" s="47"/>
      <c r="AE90" s="194"/>
      <c r="AF90" s="194"/>
      <c r="AG90" s="194"/>
      <c r="AI90" s="47"/>
      <c r="AJ90" s="198"/>
      <c r="AK90" s="47"/>
      <c r="AL90" s="47"/>
      <c r="AM90" s="47"/>
      <c r="AN90" s="47"/>
      <c r="AO90" s="47"/>
      <c r="AP90" s="194"/>
      <c r="AQ90" s="47"/>
      <c r="AR90" s="47"/>
      <c r="AS90" s="47">
        <v>28</v>
      </c>
      <c r="AT90" s="194"/>
      <c r="AU90" s="194"/>
      <c r="AV90" s="194"/>
      <c r="AW90" s="194"/>
      <c r="AX90" s="194"/>
      <c r="AY90" s="194">
        <v>28</v>
      </c>
      <c r="AZ90" s="194"/>
      <c r="BA90" s="194"/>
      <c r="BB90" s="194"/>
      <c r="BC90" s="194"/>
      <c r="BD90" s="194"/>
      <c r="BE90" s="194"/>
      <c r="BF90" s="194">
        <v>30</v>
      </c>
      <c r="BG90" s="194"/>
      <c r="BH90" s="194"/>
      <c r="BI90" s="194"/>
      <c r="BJ90" s="194"/>
      <c r="BK90" s="194"/>
      <c r="BL90" s="194"/>
      <c r="BM90" s="194">
        <v>26</v>
      </c>
      <c r="BN90" s="194"/>
      <c r="BO90" s="194"/>
      <c r="BP90" s="194"/>
      <c r="BQ90" s="47"/>
      <c r="BR90" s="194"/>
      <c r="BS90" s="47">
        <v>26</v>
      </c>
      <c r="BT90" s="47">
        <v>25</v>
      </c>
      <c r="BU90" s="47"/>
      <c r="BV90" s="47"/>
      <c r="BW90" s="47"/>
      <c r="BX90" s="194">
        <v>25</v>
      </c>
      <c r="BY90" s="194"/>
      <c r="BZ90" s="194"/>
      <c r="CA90" s="194"/>
      <c r="CB90" s="194"/>
      <c r="CC90" s="47"/>
      <c r="CD90" s="47"/>
      <c r="CE90" s="47"/>
      <c r="CF90" s="47"/>
      <c r="CG90" s="47">
        <v>30</v>
      </c>
      <c r="CH90" s="47"/>
      <c r="CI90" s="47">
        <v>30</v>
      </c>
      <c r="CJ90" s="47"/>
      <c r="CK90" s="47"/>
      <c r="CL90" s="194">
        <v>26</v>
      </c>
      <c r="CM90" s="47"/>
      <c r="CN90" s="47"/>
      <c r="CO90" s="47"/>
      <c r="CP90" s="47"/>
      <c r="CQ90" s="47">
        <v>25</v>
      </c>
      <c r="CR90" s="47"/>
      <c r="CS90" s="198">
        <v>25</v>
      </c>
      <c r="CT90" s="47"/>
      <c r="CU90" s="47">
        <v>28</v>
      </c>
      <c r="CV90" s="47">
        <v>28</v>
      </c>
      <c r="CW90" s="47"/>
      <c r="CX90" s="194">
        <v>28</v>
      </c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>
        <v>28</v>
      </c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198"/>
      <c r="DX90" s="47"/>
      <c r="DY90" s="194"/>
      <c r="DZ90" s="47"/>
      <c r="EA90" s="47"/>
      <c r="EB90" s="194"/>
      <c r="EC90" s="47"/>
      <c r="ED90" s="195"/>
      <c r="EE90" s="195"/>
      <c r="EF90" s="195"/>
      <c r="EG90" s="195"/>
      <c r="EH90" s="195">
        <v>9</v>
      </c>
      <c r="EI90" s="196">
        <f t="shared" si="2"/>
        <v>103.95</v>
      </c>
      <c r="EJ90" s="201">
        <f t="shared" si="3"/>
        <v>14.668500000000002</v>
      </c>
      <c r="EK90" s="202">
        <v>25</v>
      </c>
      <c r="FA90" s="251">
        <f t="shared" si="6"/>
        <v>11.55</v>
      </c>
    </row>
    <row r="91" spans="1:157" s="1" customFormat="1" ht="20.149999999999999" customHeight="1" x14ac:dyDescent="0.35">
      <c r="A91" s="2"/>
      <c r="B91" s="47" t="s">
        <v>869</v>
      </c>
      <c r="C91" s="47" t="s">
        <v>1668</v>
      </c>
      <c r="D91" s="252" t="s">
        <v>639</v>
      </c>
      <c r="E91" s="2" t="s">
        <v>323</v>
      </c>
      <c r="F91" s="2" t="s">
        <v>1669</v>
      </c>
      <c r="G91" s="2" t="s">
        <v>37</v>
      </c>
      <c r="H91" s="328">
        <f>H89/1000*30*10</f>
        <v>8.25</v>
      </c>
      <c r="I91" s="47"/>
      <c r="J91" s="47"/>
      <c r="K91" s="47"/>
      <c r="L91" s="47"/>
      <c r="M91" s="47"/>
      <c r="N91" s="194"/>
      <c r="O91" s="194"/>
      <c r="P91" s="194"/>
      <c r="Q91" s="194"/>
      <c r="R91" s="47"/>
      <c r="S91" s="194"/>
      <c r="T91" s="47"/>
      <c r="U91" s="194"/>
      <c r="V91" s="47"/>
      <c r="W91" s="194"/>
      <c r="X91" s="47"/>
      <c r="Y91" s="194"/>
      <c r="Z91" s="194"/>
      <c r="AA91" s="47"/>
      <c r="AB91" s="47"/>
      <c r="AC91" s="47"/>
      <c r="AD91" s="47"/>
      <c r="AE91" s="194"/>
      <c r="AF91" s="194"/>
      <c r="AG91" s="194"/>
      <c r="AI91" s="47"/>
      <c r="AJ91" s="223"/>
      <c r="AK91" s="47"/>
      <c r="AL91" s="47"/>
      <c r="AM91" s="47"/>
      <c r="AN91" s="47"/>
      <c r="AO91" s="47"/>
      <c r="AP91" s="194"/>
      <c r="AQ91" s="47"/>
      <c r="AR91" s="47"/>
      <c r="AS91" s="47"/>
      <c r="AT91" s="194"/>
      <c r="AU91" s="194"/>
      <c r="AV91" s="194"/>
      <c r="AW91" s="194"/>
      <c r="AX91" s="194"/>
      <c r="AY91" s="194"/>
      <c r="AZ91" s="194"/>
      <c r="BA91" s="194"/>
      <c r="BB91" s="194"/>
      <c r="BC91" s="194"/>
      <c r="BD91" s="194"/>
      <c r="BE91" s="194"/>
      <c r="BF91" s="194"/>
      <c r="BG91" s="194"/>
      <c r="BH91" s="194"/>
      <c r="BI91" s="194"/>
      <c r="BJ91" s="194"/>
      <c r="BK91" s="194"/>
      <c r="BL91" s="194"/>
      <c r="BM91" s="194"/>
      <c r="BN91" s="194"/>
      <c r="BO91" s="194"/>
      <c r="BP91" s="194"/>
      <c r="BQ91" s="47"/>
      <c r="BR91" s="194"/>
      <c r="BS91" s="47"/>
      <c r="BT91" s="47"/>
      <c r="BU91" s="47"/>
      <c r="BV91" s="47"/>
      <c r="BW91" s="47"/>
      <c r="BX91" s="194">
        <v>28</v>
      </c>
      <c r="BY91" s="194"/>
      <c r="BZ91" s="194"/>
      <c r="CA91" s="194"/>
      <c r="CB91" s="194"/>
      <c r="CC91" s="47"/>
      <c r="CD91" s="47"/>
      <c r="CE91" s="47"/>
      <c r="CF91" s="47"/>
      <c r="CG91" s="47"/>
      <c r="CH91" s="47"/>
      <c r="CI91" s="47"/>
      <c r="CJ91" s="47"/>
      <c r="CK91" s="194"/>
      <c r="CL91" s="194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194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198"/>
      <c r="DX91" s="47"/>
      <c r="DY91" s="194"/>
      <c r="DZ91" s="47"/>
      <c r="EA91" s="47"/>
      <c r="EB91" s="194"/>
      <c r="EC91" s="47"/>
      <c r="ED91" s="195"/>
      <c r="EE91" s="195"/>
      <c r="EF91" s="195"/>
      <c r="EG91" s="195"/>
      <c r="EH91" s="195">
        <v>0</v>
      </c>
      <c r="EI91" s="196">
        <f t="shared" si="2"/>
        <v>0</v>
      </c>
      <c r="EJ91" s="201">
        <f t="shared" si="3"/>
        <v>10.477500000000001</v>
      </c>
      <c r="EK91" s="202">
        <v>18</v>
      </c>
      <c r="FA91" s="251">
        <f t="shared" si="6"/>
        <v>8.25</v>
      </c>
    </row>
    <row r="92" spans="1:157" s="1" customFormat="1" ht="20.149999999999999" customHeight="1" x14ac:dyDescent="0.35">
      <c r="A92" s="2"/>
      <c r="B92" s="47" t="s">
        <v>1454</v>
      </c>
      <c r="C92" s="47" t="s">
        <v>1666</v>
      </c>
      <c r="D92" s="2" t="s">
        <v>639</v>
      </c>
      <c r="E92" s="2" t="s">
        <v>323</v>
      </c>
      <c r="F92" s="2" t="s">
        <v>1455</v>
      </c>
      <c r="G92" s="2" t="s">
        <v>37</v>
      </c>
      <c r="H92" s="328">
        <f>H89/1000*42</f>
        <v>1.155</v>
      </c>
      <c r="I92" s="47"/>
      <c r="J92" s="47"/>
      <c r="K92" s="47"/>
      <c r="L92" s="47"/>
      <c r="M92" s="47"/>
      <c r="N92" s="194"/>
      <c r="O92" s="194"/>
      <c r="P92" s="194"/>
      <c r="Q92" s="194"/>
      <c r="R92" s="47"/>
      <c r="S92" s="194"/>
      <c r="T92" s="47"/>
      <c r="U92" s="194"/>
      <c r="V92" s="47"/>
      <c r="W92" s="194"/>
      <c r="X92" s="47"/>
      <c r="Y92" s="194"/>
      <c r="Z92" s="194"/>
      <c r="AA92" s="47"/>
      <c r="AB92" s="47"/>
      <c r="AC92" s="47"/>
      <c r="AD92" s="47"/>
      <c r="AE92" s="194"/>
      <c r="AF92" s="194"/>
      <c r="AG92" s="194"/>
      <c r="AI92" s="47"/>
      <c r="AJ92" s="223"/>
      <c r="AK92" s="47"/>
      <c r="AL92" s="47"/>
      <c r="AM92" s="47"/>
      <c r="AN92" s="47"/>
      <c r="AO92" s="47"/>
      <c r="AP92" s="194"/>
      <c r="AQ92" s="47"/>
      <c r="AR92" s="47"/>
      <c r="AS92" s="47"/>
      <c r="AT92" s="194"/>
      <c r="AU92" s="194"/>
      <c r="AV92" s="194"/>
      <c r="AW92" s="194"/>
      <c r="AX92" s="194"/>
      <c r="AY92" s="194"/>
      <c r="AZ92" s="194"/>
      <c r="BA92" s="194"/>
      <c r="BB92" s="194"/>
      <c r="BC92" s="194"/>
      <c r="BD92" s="194"/>
      <c r="BE92" s="194"/>
      <c r="BF92" s="194"/>
      <c r="BG92" s="194"/>
      <c r="BH92" s="194"/>
      <c r="BI92" s="194"/>
      <c r="BJ92" s="194"/>
      <c r="BK92" s="194"/>
      <c r="BL92" s="194"/>
      <c r="BM92" s="194"/>
      <c r="BN92" s="194"/>
      <c r="BO92" s="194"/>
      <c r="BP92" s="194"/>
      <c r="BQ92" s="47"/>
      <c r="BR92" s="194"/>
      <c r="BS92" s="47"/>
      <c r="BT92" s="47"/>
      <c r="BU92" s="47"/>
      <c r="BV92" s="47"/>
      <c r="BW92" s="47"/>
      <c r="BX92" s="194"/>
      <c r="BY92" s="194"/>
      <c r="BZ92" s="194"/>
      <c r="CA92" s="194"/>
      <c r="CB92" s="194"/>
      <c r="CC92" s="47"/>
      <c r="CD92" s="47"/>
      <c r="CE92" s="47"/>
      <c r="CF92" s="47"/>
      <c r="CG92" s="47"/>
      <c r="CH92" s="47"/>
      <c r="CI92" s="47"/>
      <c r="CJ92" s="47"/>
      <c r="CK92" s="194"/>
      <c r="CL92" s="194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194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198"/>
      <c r="DX92" s="47"/>
      <c r="DY92" s="194"/>
      <c r="DZ92" s="47"/>
      <c r="EA92" s="47"/>
      <c r="EB92" s="194"/>
      <c r="EC92" s="47"/>
      <c r="ED92" s="195"/>
      <c r="EE92" s="195"/>
      <c r="EF92" s="195"/>
      <c r="EG92" s="195"/>
      <c r="EH92" s="195"/>
      <c r="EI92" s="196"/>
      <c r="EJ92" s="201"/>
      <c r="EK92" s="202"/>
      <c r="FA92" s="251"/>
    </row>
    <row r="93" spans="1:157" s="1" customFormat="1" ht="20.149999999999999" customHeight="1" x14ac:dyDescent="0.35">
      <c r="A93" s="2"/>
      <c r="B93" s="47" t="s">
        <v>1702</v>
      </c>
      <c r="C93" s="47" t="s">
        <v>1666</v>
      </c>
      <c r="D93" s="2" t="s">
        <v>639</v>
      </c>
      <c r="E93" s="2" t="s">
        <v>323</v>
      </c>
      <c r="F93" s="2" t="s">
        <v>1703</v>
      </c>
      <c r="G93" s="2" t="s">
        <v>37</v>
      </c>
      <c r="H93" s="328">
        <f>H89/1000*46*10</f>
        <v>12.649999999999999</v>
      </c>
      <c r="I93" s="47"/>
      <c r="J93" s="47"/>
      <c r="K93" s="47"/>
      <c r="L93" s="47"/>
      <c r="M93" s="47"/>
      <c r="N93" s="194"/>
      <c r="O93" s="194"/>
      <c r="P93" s="194"/>
      <c r="Q93" s="194"/>
      <c r="R93" s="47"/>
      <c r="S93" s="194"/>
      <c r="T93" s="47"/>
      <c r="U93" s="194"/>
      <c r="V93" s="47"/>
      <c r="W93" s="194"/>
      <c r="X93" s="47"/>
      <c r="Y93" s="194"/>
      <c r="Z93" s="194"/>
      <c r="AA93" s="47"/>
      <c r="AB93" s="47"/>
      <c r="AC93" s="47"/>
      <c r="AD93" s="47"/>
      <c r="AE93" s="194"/>
      <c r="AF93" s="194"/>
      <c r="AG93" s="194"/>
      <c r="AI93" s="47"/>
      <c r="AJ93" s="223"/>
      <c r="AK93" s="47"/>
      <c r="AL93" s="47"/>
      <c r="AM93" s="47"/>
      <c r="AN93" s="47"/>
      <c r="AO93" s="47"/>
      <c r="AP93" s="194"/>
      <c r="AQ93" s="47"/>
      <c r="AR93" s="47"/>
      <c r="AS93" s="47"/>
      <c r="AT93" s="194"/>
      <c r="AU93" s="194"/>
      <c r="AV93" s="194"/>
      <c r="AW93" s="194">
        <v>32</v>
      </c>
      <c r="AX93" s="194"/>
      <c r="AY93" s="194"/>
      <c r="AZ93" s="194"/>
      <c r="BA93" s="194"/>
      <c r="BB93" s="194"/>
      <c r="BC93" s="194"/>
      <c r="BD93" s="194"/>
      <c r="BE93" s="194"/>
      <c r="BF93" s="194"/>
      <c r="BG93" s="194"/>
      <c r="BH93" s="194"/>
      <c r="BI93" s="194"/>
      <c r="BJ93" s="194"/>
      <c r="BK93" s="194"/>
      <c r="BL93" s="194"/>
      <c r="BM93" s="194"/>
      <c r="BN93" s="194"/>
      <c r="BO93" s="194"/>
      <c r="BP93" s="194"/>
      <c r="BQ93" s="47"/>
      <c r="BR93" s="194"/>
      <c r="BS93" s="47"/>
      <c r="BT93" s="47"/>
      <c r="BU93" s="47"/>
      <c r="BV93" s="47"/>
      <c r="BW93" s="47"/>
      <c r="BX93" s="194"/>
      <c r="BY93" s="194"/>
      <c r="BZ93" s="194"/>
      <c r="CA93" s="194"/>
      <c r="CB93" s="194"/>
      <c r="CC93" s="47"/>
      <c r="CD93" s="47"/>
      <c r="CE93" s="47"/>
      <c r="CF93" s="47"/>
      <c r="CG93" s="47"/>
      <c r="CH93" s="47"/>
      <c r="CI93" s="47"/>
      <c r="CJ93" s="47"/>
      <c r="CK93" s="194"/>
      <c r="CL93" s="194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194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198"/>
      <c r="DX93" s="47"/>
      <c r="DY93" s="194"/>
      <c r="DZ93" s="47"/>
      <c r="EA93" s="47"/>
      <c r="EB93" s="194"/>
      <c r="EC93" s="47"/>
      <c r="ED93" s="195"/>
      <c r="EE93" s="195"/>
      <c r="EF93" s="195"/>
      <c r="EG93" s="195"/>
      <c r="EH93" s="195"/>
      <c r="EI93" s="196"/>
      <c r="EJ93" s="201"/>
      <c r="EK93" s="202"/>
      <c r="FA93" s="251"/>
    </row>
    <row r="94" spans="1:157" s="1" customFormat="1" ht="20.149999999999999" customHeight="1" x14ac:dyDescent="0.35">
      <c r="A94" s="2"/>
      <c r="B94" s="47" t="s">
        <v>867</v>
      </c>
      <c r="C94" s="47" t="s">
        <v>1415</v>
      </c>
      <c r="D94" s="2"/>
      <c r="E94" s="40" t="s">
        <v>315</v>
      </c>
      <c r="F94" s="2" t="s">
        <v>31</v>
      </c>
      <c r="G94" s="2" t="s">
        <v>35</v>
      </c>
      <c r="H94" s="328">
        <v>35</v>
      </c>
      <c r="I94" s="47"/>
      <c r="J94" s="47"/>
      <c r="K94" s="47"/>
      <c r="L94" s="47"/>
      <c r="M94" s="47"/>
      <c r="N94" s="194"/>
      <c r="O94" s="194"/>
      <c r="P94" s="194"/>
      <c r="Q94" s="194"/>
      <c r="R94" s="47"/>
      <c r="S94" s="194"/>
      <c r="T94" s="47"/>
      <c r="U94" s="194"/>
      <c r="V94" s="47"/>
      <c r="W94" s="194"/>
      <c r="X94" s="47">
        <v>45</v>
      </c>
      <c r="Y94" s="194"/>
      <c r="Z94" s="194"/>
      <c r="AA94" s="47"/>
      <c r="AB94" s="47"/>
      <c r="AC94" s="47"/>
      <c r="AD94" s="47"/>
      <c r="AE94" s="194"/>
      <c r="AF94" s="194"/>
      <c r="AG94" s="194"/>
      <c r="AI94" s="47"/>
      <c r="AJ94" s="223"/>
      <c r="AK94" s="47"/>
      <c r="AL94" s="47"/>
      <c r="AM94" s="47"/>
      <c r="AN94" s="47"/>
      <c r="AO94" s="47"/>
      <c r="AP94" s="194"/>
      <c r="AQ94" s="47"/>
      <c r="AR94" s="47">
        <v>45</v>
      </c>
      <c r="AS94" s="47"/>
      <c r="AT94" s="194"/>
      <c r="AU94" s="194"/>
      <c r="AV94" s="194"/>
      <c r="AW94" s="194">
        <v>48</v>
      </c>
      <c r="AX94" s="194"/>
      <c r="AY94" s="194">
        <v>45</v>
      </c>
      <c r="AZ94" s="194"/>
      <c r="BA94" s="194"/>
      <c r="BB94" s="194"/>
      <c r="BC94" s="194"/>
      <c r="BD94" s="194"/>
      <c r="BE94" s="194"/>
      <c r="BF94" s="194"/>
      <c r="BG94" s="194"/>
      <c r="BH94" s="194"/>
      <c r="BI94" s="194"/>
      <c r="BJ94" s="194"/>
      <c r="BK94" s="194"/>
      <c r="BL94" s="194"/>
      <c r="BM94" s="194"/>
      <c r="BN94" s="194"/>
      <c r="BO94" s="194"/>
      <c r="BP94" s="194"/>
      <c r="BQ94" s="47"/>
      <c r="BR94" s="194"/>
      <c r="BS94" s="47"/>
      <c r="BT94" s="47"/>
      <c r="BU94" s="47"/>
      <c r="BV94" s="47"/>
      <c r="BW94" s="47"/>
      <c r="BX94" s="194"/>
      <c r="BY94" s="194"/>
      <c r="BZ94" s="194">
        <v>45</v>
      </c>
      <c r="CA94" s="194"/>
      <c r="CB94" s="194"/>
      <c r="CC94" s="47"/>
      <c r="CD94" s="47"/>
      <c r="CE94" s="47"/>
      <c r="CF94" s="47"/>
      <c r="CG94" s="47"/>
      <c r="CH94" s="47"/>
      <c r="CI94" s="47">
        <v>45</v>
      </c>
      <c r="CJ94" s="47"/>
      <c r="CK94" s="224"/>
      <c r="CL94" s="194"/>
      <c r="CM94" s="47"/>
      <c r="CN94" s="47"/>
      <c r="CO94" s="47">
        <v>45</v>
      </c>
      <c r="CP94" s="47">
        <v>45</v>
      </c>
      <c r="CQ94" s="47"/>
      <c r="CR94" s="47"/>
      <c r="CS94" s="47"/>
      <c r="CT94" s="47"/>
      <c r="CU94" s="47"/>
      <c r="CV94" s="47"/>
      <c r="CW94" s="47"/>
      <c r="CX94" s="194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>
        <v>45</v>
      </c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198"/>
      <c r="DX94" s="47"/>
      <c r="DY94" s="194"/>
      <c r="DZ94" s="47"/>
      <c r="EA94" s="47"/>
      <c r="EB94" s="194"/>
      <c r="EC94" s="47"/>
      <c r="ED94" s="195"/>
      <c r="EE94" s="195"/>
      <c r="EF94" s="195"/>
      <c r="EG94" s="195"/>
      <c r="EH94" s="195">
        <f>3+10</f>
        <v>13</v>
      </c>
      <c r="EI94" s="196">
        <f t="shared" si="2"/>
        <v>455</v>
      </c>
      <c r="EJ94" s="201">
        <f t="shared" si="3"/>
        <v>44.45</v>
      </c>
      <c r="EK94" s="202">
        <v>45</v>
      </c>
      <c r="FA94" s="251">
        <f t="shared" si="6"/>
        <v>35</v>
      </c>
    </row>
    <row r="95" spans="1:157" s="1" customFormat="1" ht="20.149999999999999" customHeight="1" x14ac:dyDescent="0.35">
      <c r="A95" s="2"/>
      <c r="B95" s="47" t="s">
        <v>868</v>
      </c>
      <c r="C95" s="47" t="s">
        <v>1415</v>
      </c>
      <c r="D95" s="252" t="s">
        <v>56</v>
      </c>
      <c r="E95" s="2" t="s">
        <v>315</v>
      </c>
      <c r="F95" s="2" t="s">
        <v>1670</v>
      </c>
      <c r="G95" s="2" t="s">
        <v>37</v>
      </c>
      <c r="H95" s="328">
        <f>H94/1000*43*10</f>
        <v>15.05</v>
      </c>
      <c r="I95" s="47"/>
      <c r="J95" s="47"/>
      <c r="K95" s="47"/>
      <c r="L95" s="47"/>
      <c r="M95" s="47"/>
      <c r="N95" s="194"/>
      <c r="O95" s="194"/>
      <c r="P95" s="194"/>
      <c r="Q95" s="194"/>
      <c r="R95" s="47"/>
      <c r="S95" s="194"/>
      <c r="T95" s="47"/>
      <c r="U95" s="194"/>
      <c r="V95" s="47"/>
      <c r="W95" s="194"/>
      <c r="X95" s="47"/>
      <c r="Y95" s="194"/>
      <c r="Z95" s="194"/>
      <c r="AA95" s="47"/>
      <c r="AB95" s="47"/>
      <c r="AC95" s="47"/>
      <c r="AD95" s="47"/>
      <c r="AE95" s="194"/>
      <c r="AF95" s="194"/>
      <c r="AG95" s="194"/>
      <c r="AI95" s="47"/>
      <c r="AJ95" s="223"/>
      <c r="AK95" s="47">
        <v>30</v>
      </c>
      <c r="AL95" s="47"/>
      <c r="AM95" s="47"/>
      <c r="AN95" s="47"/>
      <c r="AO95" s="47"/>
      <c r="AP95" s="194"/>
      <c r="AQ95" s="47"/>
      <c r="AR95" s="47"/>
      <c r="AS95" s="47"/>
      <c r="AT95" s="194"/>
      <c r="AU95" s="194"/>
      <c r="AV95" s="194">
        <v>30</v>
      </c>
      <c r="AW95" s="194"/>
      <c r="AX95" s="194"/>
      <c r="AY95" s="194"/>
      <c r="AZ95" s="194"/>
      <c r="BA95" s="194"/>
      <c r="BB95" s="194"/>
      <c r="BC95" s="194"/>
      <c r="BD95" s="194"/>
      <c r="BE95" s="194"/>
      <c r="BF95" s="194"/>
      <c r="BG95" s="194"/>
      <c r="BH95" s="194"/>
      <c r="BI95" s="194"/>
      <c r="BJ95" s="194"/>
      <c r="BK95" s="194"/>
      <c r="BL95" s="194"/>
      <c r="BM95" s="194"/>
      <c r="BN95" s="194"/>
      <c r="BO95" s="194"/>
      <c r="BP95" s="194"/>
      <c r="BQ95" s="47"/>
      <c r="BR95" s="194">
        <v>30</v>
      </c>
      <c r="BS95" s="47"/>
      <c r="BT95" s="47"/>
      <c r="BU95" s="47"/>
      <c r="BV95" s="47"/>
      <c r="BW95" s="47"/>
      <c r="BX95" s="194">
        <v>30</v>
      </c>
      <c r="BY95" s="194"/>
      <c r="BZ95" s="194"/>
      <c r="CA95" s="194"/>
      <c r="CB95" s="194"/>
      <c r="CC95" s="47"/>
      <c r="CD95" s="47">
        <v>30</v>
      </c>
      <c r="CE95" s="47"/>
      <c r="CF95" s="47"/>
      <c r="CG95" s="47"/>
      <c r="CH95" s="47"/>
      <c r="CI95" s="47">
        <v>30</v>
      </c>
      <c r="CJ95" s="47"/>
      <c r="CK95" s="224"/>
      <c r="CL95" s="194">
        <v>31</v>
      </c>
      <c r="CM95" s="47"/>
      <c r="CN95" s="47"/>
      <c r="CO95" s="47"/>
      <c r="CP95" s="47"/>
      <c r="CQ95" s="47">
        <v>30</v>
      </c>
      <c r="CR95" s="47"/>
      <c r="CS95" s="47"/>
      <c r="CT95" s="47"/>
      <c r="CU95" s="47"/>
      <c r="CV95" s="47">
        <v>32</v>
      </c>
      <c r="CW95" s="47"/>
      <c r="CX95" s="194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198"/>
      <c r="DX95" s="47"/>
      <c r="DY95" s="194"/>
      <c r="DZ95" s="47"/>
      <c r="EA95" s="47"/>
      <c r="EB95" s="194"/>
      <c r="EC95" s="47"/>
      <c r="ED95" s="195"/>
      <c r="EE95" s="195"/>
      <c r="EF95" s="195"/>
      <c r="EG95" s="195"/>
      <c r="EH95" s="195">
        <v>10</v>
      </c>
      <c r="EI95" s="196">
        <f t="shared" si="2"/>
        <v>150.5</v>
      </c>
      <c r="EJ95" s="201">
        <f t="shared" si="3"/>
        <v>19.113500000000002</v>
      </c>
      <c r="EK95" s="202">
        <f>AVERAGE(I95:EC95)</f>
        <v>30.333333333333332</v>
      </c>
      <c r="FA95" s="251">
        <f t="shared" si="6"/>
        <v>15.05</v>
      </c>
    </row>
    <row r="96" spans="1:157" s="1" customFormat="1" ht="20.149999999999999" customHeight="1" x14ac:dyDescent="0.35">
      <c r="A96" s="47"/>
      <c r="B96" s="47" t="s">
        <v>870</v>
      </c>
      <c r="C96" s="47" t="s">
        <v>1415</v>
      </c>
      <c r="D96" s="252" t="s">
        <v>56</v>
      </c>
      <c r="E96" s="2" t="s">
        <v>80</v>
      </c>
      <c r="F96" s="2" t="s">
        <v>1671</v>
      </c>
      <c r="G96" s="2" t="s">
        <v>32</v>
      </c>
      <c r="H96" s="57"/>
      <c r="I96" s="47"/>
      <c r="J96" s="47"/>
      <c r="K96" s="47"/>
      <c r="L96" s="47"/>
      <c r="M96" s="47"/>
      <c r="N96" s="194"/>
      <c r="O96" s="194"/>
      <c r="P96" s="194"/>
      <c r="Q96" s="194">
        <v>45</v>
      </c>
      <c r="R96" s="47"/>
      <c r="S96" s="194"/>
      <c r="T96" s="47"/>
      <c r="U96" s="194"/>
      <c r="V96" s="47"/>
      <c r="W96" s="194"/>
      <c r="X96" s="47"/>
      <c r="Y96" s="194"/>
      <c r="Z96" s="194"/>
      <c r="AA96" s="47"/>
      <c r="AB96" s="47"/>
      <c r="AC96" s="47"/>
      <c r="AD96" s="47"/>
      <c r="AE96" s="194"/>
      <c r="AF96" s="194"/>
      <c r="AG96" s="194"/>
      <c r="AI96" s="47"/>
      <c r="AJ96" s="223"/>
      <c r="AK96" s="47"/>
      <c r="AL96" s="47"/>
      <c r="AM96" s="47"/>
      <c r="AN96" s="47"/>
      <c r="AO96" s="47"/>
      <c r="AP96" s="194"/>
      <c r="AQ96" s="47"/>
      <c r="AR96" s="47"/>
      <c r="AS96" s="47"/>
      <c r="AT96" s="194"/>
      <c r="AU96" s="194"/>
      <c r="AV96" s="194"/>
      <c r="AW96" s="194"/>
      <c r="AX96" s="194"/>
      <c r="AY96" s="194"/>
      <c r="AZ96" s="194"/>
      <c r="BA96" s="194"/>
      <c r="BB96" s="194"/>
      <c r="BC96" s="194"/>
      <c r="BD96" s="194"/>
      <c r="BE96" s="194"/>
      <c r="BF96" s="194"/>
      <c r="BG96" s="194"/>
      <c r="BH96" s="194"/>
      <c r="BI96" s="194"/>
      <c r="BJ96" s="194"/>
      <c r="BK96" s="194"/>
      <c r="BL96" s="194"/>
      <c r="BM96" s="194"/>
      <c r="BN96" s="194"/>
      <c r="BO96" s="194">
        <v>11</v>
      </c>
      <c r="BP96" s="194"/>
      <c r="BQ96" s="47"/>
      <c r="BR96" s="194"/>
      <c r="BS96" s="47"/>
      <c r="BT96" s="47">
        <v>45</v>
      </c>
      <c r="BU96" s="47"/>
      <c r="BV96" s="47"/>
      <c r="BW96" s="47"/>
      <c r="BX96" s="194"/>
      <c r="BY96" s="194"/>
      <c r="BZ96" s="194"/>
      <c r="CA96" s="194"/>
      <c r="CB96" s="194"/>
      <c r="CC96" s="47"/>
      <c r="CD96" s="47"/>
      <c r="CE96" s="47">
        <v>30</v>
      </c>
      <c r="CF96" s="47"/>
      <c r="CG96" s="47"/>
      <c r="CH96" s="47"/>
      <c r="CI96" s="47"/>
      <c r="CJ96" s="47"/>
      <c r="CK96" s="224"/>
      <c r="CL96" s="194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194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198"/>
      <c r="DX96" s="47"/>
      <c r="DY96" s="194"/>
      <c r="DZ96" s="47"/>
      <c r="EA96" s="47"/>
      <c r="EB96" s="194"/>
      <c r="EC96" s="47"/>
      <c r="ED96" s="195"/>
      <c r="EE96" s="195"/>
      <c r="EF96" s="195"/>
      <c r="EG96" s="195"/>
      <c r="EH96" s="195">
        <v>3</v>
      </c>
      <c r="EI96" s="196">
        <f t="shared" si="2"/>
        <v>0</v>
      </c>
      <c r="EJ96" s="201">
        <f t="shared" si="3"/>
        <v>0</v>
      </c>
      <c r="EK96" s="202">
        <v>0</v>
      </c>
      <c r="FA96" s="251">
        <f t="shared" si="6"/>
        <v>0</v>
      </c>
    </row>
    <row r="97" spans="1:157" s="1" customFormat="1" ht="20.149999999999999" customHeight="1" x14ac:dyDescent="0.35">
      <c r="A97" s="47"/>
      <c r="B97" s="47" t="s">
        <v>871</v>
      </c>
      <c r="C97" s="47" t="s">
        <v>1415</v>
      </c>
      <c r="D97" s="252" t="s">
        <v>56</v>
      </c>
      <c r="E97" s="2" t="s">
        <v>80</v>
      </c>
      <c r="F97" s="2" t="s">
        <v>386</v>
      </c>
      <c r="G97" s="2" t="s">
        <v>30</v>
      </c>
      <c r="H97" s="57">
        <v>9</v>
      </c>
      <c r="I97" s="47"/>
      <c r="J97" s="47"/>
      <c r="K97" s="47"/>
      <c r="L97" s="47"/>
      <c r="M97" s="47"/>
      <c r="N97" s="194"/>
      <c r="O97" s="194"/>
      <c r="P97" s="194"/>
      <c r="Q97" s="194">
        <v>45</v>
      </c>
      <c r="R97" s="47"/>
      <c r="S97" s="194"/>
      <c r="T97" s="47"/>
      <c r="U97" s="194"/>
      <c r="V97" s="47"/>
      <c r="W97" s="194"/>
      <c r="X97" s="47"/>
      <c r="Y97" s="194"/>
      <c r="Z97" s="194"/>
      <c r="AA97" s="47"/>
      <c r="AB97" s="47"/>
      <c r="AC97" s="47"/>
      <c r="AD97" s="47"/>
      <c r="AE97" s="194"/>
      <c r="AF97" s="194"/>
      <c r="AG97" s="194"/>
      <c r="AI97" s="47"/>
      <c r="AJ97" s="223"/>
      <c r="AK97" s="47"/>
      <c r="AL97" s="47"/>
      <c r="AM97" s="47"/>
      <c r="AN97" s="47"/>
      <c r="AO97" s="47"/>
      <c r="AP97" s="194"/>
      <c r="AQ97" s="47"/>
      <c r="AR97" s="47"/>
      <c r="AS97" s="47"/>
      <c r="AT97" s="194"/>
      <c r="AU97" s="194"/>
      <c r="AV97" s="194"/>
      <c r="AW97" s="194"/>
      <c r="AX97" s="194"/>
      <c r="AY97" s="194"/>
      <c r="AZ97" s="194"/>
      <c r="BA97" s="194"/>
      <c r="BB97" s="194"/>
      <c r="BC97" s="194"/>
      <c r="BD97" s="194"/>
      <c r="BE97" s="194"/>
      <c r="BF97" s="194"/>
      <c r="BG97" s="194"/>
      <c r="BH97" s="194"/>
      <c r="BI97" s="194"/>
      <c r="BJ97" s="194"/>
      <c r="BK97" s="194"/>
      <c r="BL97" s="194"/>
      <c r="BM97" s="194"/>
      <c r="BN97" s="194"/>
      <c r="BO97" s="194">
        <v>11</v>
      </c>
      <c r="BP97" s="194"/>
      <c r="BQ97" s="47"/>
      <c r="BR97" s="194"/>
      <c r="BS97" s="47"/>
      <c r="BT97" s="47">
        <v>45</v>
      </c>
      <c r="BU97" s="47"/>
      <c r="BV97" s="47"/>
      <c r="BW97" s="47"/>
      <c r="BX97" s="194"/>
      <c r="BY97" s="194"/>
      <c r="BZ97" s="194"/>
      <c r="CA97" s="194"/>
      <c r="CB97" s="194"/>
      <c r="CC97" s="47"/>
      <c r="CD97" s="47"/>
      <c r="CE97" s="47">
        <v>30</v>
      </c>
      <c r="CF97" s="47"/>
      <c r="CG97" s="47"/>
      <c r="CH97" s="47"/>
      <c r="CI97" s="47"/>
      <c r="CJ97" s="47"/>
      <c r="CK97" s="224"/>
      <c r="CL97" s="194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194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198"/>
      <c r="DX97" s="47"/>
      <c r="DY97" s="194"/>
      <c r="DZ97" s="47"/>
      <c r="EA97" s="47"/>
      <c r="EB97" s="194"/>
      <c r="EC97" s="47"/>
      <c r="ED97" s="195"/>
      <c r="EE97" s="195"/>
      <c r="EF97" s="195"/>
      <c r="EG97" s="195"/>
      <c r="EH97" s="195">
        <v>2</v>
      </c>
      <c r="EI97" s="196">
        <f t="shared" si="2"/>
        <v>18</v>
      </c>
      <c r="EJ97" s="201">
        <f t="shared" si="3"/>
        <v>11.43</v>
      </c>
      <c r="EK97" s="202">
        <v>0</v>
      </c>
      <c r="FA97" s="251">
        <f t="shared" si="6"/>
        <v>9</v>
      </c>
    </row>
    <row r="98" spans="1:157" s="1" customFormat="1" ht="20.149999999999999" customHeight="1" x14ac:dyDescent="0.35">
      <c r="A98" s="47"/>
      <c r="B98" s="47" t="s">
        <v>872</v>
      </c>
      <c r="C98" s="47" t="s">
        <v>216</v>
      </c>
      <c r="D98" s="252" t="s">
        <v>637</v>
      </c>
      <c r="E98" s="2" t="s">
        <v>33</v>
      </c>
      <c r="F98" s="2" t="s">
        <v>31</v>
      </c>
      <c r="G98" s="2" t="s">
        <v>302</v>
      </c>
      <c r="H98" s="328">
        <f>230/10</f>
        <v>23</v>
      </c>
      <c r="I98" s="47"/>
      <c r="J98" s="47"/>
      <c r="K98" s="47"/>
      <c r="L98" s="47"/>
      <c r="M98" s="47"/>
      <c r="N98" s="194"/>
      <c r="O98" s="194"/>
      <c r="P98" s="194"/>
      <c r="Q98" s="194"/>
      <c r="R98" s="47"/>
      <c r="S98" s="194"/>
      <c r="T98" s="47"/>
      <c r="U98" s="194"/>
      <c r="V98" s="47"/>
      <c r="W98" s="194"/>
      <c r="X98" s="47"/>
      <c r="Y98" s="194"/>
      <c r="Z98" s="194"/>
      <c r="AA98" s="47"/>
      <c r="AB98" s="47">
        <v>31</v>
      </c>
      <c r="AC98" s="47"/>
      <c r="AD98" s="47"/>
      <c r="AE98" s="194"/>
      <c r="AF98" s="194"/>
      <c r="AG98" s="194"/>
      <c r="AI98" s="47"/>
      <c r="AJ98" s="198"/>
      <c r="AK98" s="47"/>
      <c r="AL98" s="47"/>
      <c r="AM98" s="47"/>
      <c r="AN98" s="47"/>
      <c r="AO98" s="47"/>
      <c r="AP98" s="194"/>
      <c r="AQ98" s="47"/>
      <c r="AR98" s="47"/>
      <c r="AS98" s="47"/>
      <c r="AT98" s="194"/>
      <c r="AU98" s="194"/>
      <c r="AV98" s="194"/>
      <c r="AW98" s="194"/>
      <c r="AX98" s="194"/>
      <c r="AY98" s="194"/>
      <c r="AZ98" s="194"/>
      <c r="BA98" s="194"/>
      <c r="BB98" s="194"/>
      <c r="BC98" s="194"/>
      <c r="BD98" s="194"/>
      <c r="BE98" s="194"/>
      <c r="BF98" s="194"/>
      <c r="BG98" s="194"/>
      <c r="BH98" s="194"/>
      <c r="BI98" s="194"/>
      <c r="BJ98" s="194"/>
      <c r="BK98" s="194"/>
      <c r="BL98" s="194"/>
      <c r="BM98" s="194"/>
      <c r="BN98" s="194"/>
      <c r="BO98" s="194"/>
      <c r="BP98" s="194"/>
      <c r="BQ98" s="47"/>
      <c r="BR98" s="194"/>
      <c r="BS98" s="47"/>
      <c r="BT98" s="47"/>
      <c r="BU98" s="47"/>
      <c r="BV98" s="47"/>
      <c r="BW98" s="47"/>
      <c r="BX98" s="194"/>
      <c r="BY98" s="194"/>
      <c r="BZ98" s="194"/>
      <c r="CA98" s="194"/>
      <c r="CB98" s="194"/>
      <c r="CC98" s="47"/>
      <c r="CD98" s="47"/>
      <c r="CE98" s="47"/>
      <c r="CF98" s="47"/>
      <c r="CG98" s="47"/>
      <c r="CH98" s="47"/>
      <c r="CI98" s="47"/>
      <c r="CJ98" s="47"/>
      <c r="CK98" s="47"/>
      <c r="CL98" s="194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194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198"/>
      <c r="DX98" s="47"/>
      <c r="DY98" s="194"/>
      <c r="DZ98" s="47"/>
      <c r="EA98" s="47"/>
      <c r="EB98" s="194"/>
      <c r="EC98" s="47"/>
      <c r="ED98" s="195"/>
      <c r="EE98" s="195"/>
      <c r="EF98" s="195"/>
      <c r="EG98" s="195"/>
      <c r="EH98" s="195">
        <v>3</v>
      </c>
      <c r="EI98" s="196">
        <f t="shared" si="2"/>
        <v>69</v>
      </c>
      <c r="EJ98" s="201">
        <f t="shared" si="3"/>
        <v>29.21</v>
      </c>
      <c r="EK98" s="202">
        <v>30</v>
      </c>
      <c r="FA98" s="251">
        <f t="shared" si="6"/>
        <v>23</v>
      </c>
    </row>
    <row r="99" spans="1:157" s="1" customFormat="1" ht="20.149999999999999" customHeight="1" x14ac:dyDescent="0.35">
      <c r="A99" s="47"/>
      <c r="B99" s="47" t="s">
        <v>873</v>
      </c>
      <c r="C99" s="47" t="s">
        <v>1672</v>
      </c>
      <c r="D99" s="252" t="s">
        <v>56</v>
      </c>
      <c r="E99" s="2" t="s">
        <v>33</v>
      </c>
      <c r="F99" s="2" t="s">
        <v>1673</v>
      </c>
      <c r="G99" s="2" t="s">
        <v>37</v>
      </c>
      <c r="H99" s="57">
        <f>2.8*5</f>
        <v>14</v>
      </c>
      <c r="I99" s="47"/>
      <c r="J99" s="47"/>
      <c r="K99" s="47"/>
      <c r="L99" s="47"/>
      <c r="M99" s="47"/>
      <c r="N99" s="194"/>
      <c r="O99" s="194"/>
      <c r="P99" s="194"/>
      <c r="Q99" s="194"/>
      <c r="R99" s="47"/>
      <c r="S99" s="194"/>
      <c r="T99" s="47"/>
      <c r="U99" s="194"/>
      <c r="V99" s="47"/>
      <c r="W99" s="194"/>
      <c r="X99" s="47"/>
      <c r="Y99" s="194"/>
      <c r="Z99" s="194"/>
      <c r="AA99" s="47"/>
      <c r="AB99" s="47"/>
      <c r="AC99" s="47"/>
      <c r="AD99" s="47"/>
      <c r="AE99" s="194"/>
      <c r="AF99" s="194"/>
      <c r="AG99" s="194"/>
      <c r="AI99" s="47"/>
      <c r="AJ99" s="198"/>
      <c r="AK99" s="47"/>
      <c r="AL99" s="47"/>
      <c r="AM99" s="47"/>
      <c r="AN99" s="47"/>
      <c r="AO99" s="47"/>
      <c r="AP99" s="194"/>
      <c r="AQ99" s="47"/>
      <c r="AR99" s="47"/>
      <c r="AS99" s="47"/>
      <c r="AT99" s="194"/>
      <c r="AU99" s="194"/>
      <c r="AV99" s="194"/>
      <c r="AW99" s="194"/>
      <c r="AX99" s="194"/>
      <c r="AY99" s="194"/>
      <c r="AZ99" s="194"/>
      <c r="BA99" s="194"/>
      <c r="BB99" s="194"/>
      <c r="BC99" s="194"/>
      <c r="BD99" s="194"/>
      <c r="BE99" s="194"/>
      <c r="BF99" s="194"/>
      <c r="BG99" s="194"/>
      <c r="BH99" s="194"/>
      <c r="BI99" s="194"/>
      <c r="BJ99" s="194"/>
      <c r="BK99" s="194"/>
      <c r="BL99" s="194"/>
      <c r="BM99" s="194"/>
      <c r="BN99" s="194"/>
      <c r="BO99" s="194"/>
      <c r="BP99" s="194"/>
      <c r="BQ99" s="47"/>
      <c r="BR99" s="194"/>
      <c r="BS99" s="47"/>
      <c r="BT99" s="47"/>
      <c r="BU99" s="47"/>
      <c r="BV99" s="47"/>
      <c r="BW99" s="47"/>
      <c r="BX99" s="194"/>
      <c r="BY99" s="194"/>
      <c r="BZ99" s="194"/>
      <c r="CA99" s="194"/>
      <c r="CB99" s="194"/>
      <c r="CC99" s="47"/>
      <c r="CD99" s="47"/>
      <c r="CE99" s="47"/>
      <c r="CF99" s="47"/>
      <c r="CG99" s="47"/>
      <c r="CH99" s="47"/>
      <c r="CI99" s="47"/>
      <c r="CJ99" s="47"/>
      <c r="CK99" s="47"/>
      <c r="CL99" s="194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194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198"/>
      <c r="DX99" s="47"/>
      <c r="DY99" s="194"/>
      <c r="DZ99" s="47"/>
      <c r="EA99" s="47"/>
      <c r="EB99" s="194"/>
      <c r="EC99" s="47"/>
      <c r="ED99" s="195"/>
      <c r="EE99" s="195"/>
      <c r="EF99" s="195"/>
      <c r="EG99" s="195"/>
      <c r="EH99" s="195">
        <v>15</v>
      </c>
      <c r="EI99" s="196">
        <f t="shared" si="2"/>
        <v>210</v>
      </c>
      <c r="EJ99" s="201">
        <f t="shared" si="3"/>
        <v>17.78</v>
      </c>
      <c r="EK99" s="202">
        <v>0</v>
      </c>
      <c r="FA99" s="251">
        <f t="shared" si="6"/>
        <v>14</v>
      </c>
    </row>
    <row r="100" spans="1:157" s="1" customFormat="1" ht="20.149999999999999" customHeight="1" x14ac:dyDescent="0.35">
      <c r="A100" s="2"/>
      <c r="B100" s="47" t="s">
        <v>874</v>
      </c>
      <c r="C100" s="47" t="s">
        <v>1672</v>
      </c>
      <c r="D100" s="252" t="s">
        <v>56</v>
      </c>
      <c r="E100" s="2" t="s">
        <v>33</v>
      </c>
      <c r="F100" s="2" t="s">
        <v>1674</v>
      </c>
      <c r="G100" s="2" t="s">
        <v>37</v>
      </c>
      <c r="H100" s="57"/>
      <c r="I100" s="47"/>
      <c r="J100" s="47"/>
      <c r="K100" s="47"/>
      <c r="L100" s="47"/>
      <c r="M100" s="47"/>
      <c r="N100" s="194"/>
      <c r="O100" s="194"/>
      <c r="P100" s="194"/>
      <c r="Q100" s="194"/>
      <c r="R100" s="47"/>
      <c r="S100" s="194"/>
      <c r="T100" s="47"/>
      <c r="U100" s="194"/>
      <c r="V100" s="47"/>
      <c r="W100" s="194"/>
      <c r="X100" s="47"/>
      <c r="Y100" s="194"/>
      <c r="Z100" s="194"/>
      <c r="AA100" s="47"/>
      <c r="AB100" s="47"/>
      <c r="AC100" s="47"/>
      <c r="AD100" s="47"/>
      <c r="AE100" s="194"/>
      <c r="AF100" s="194"/>
      <c r="AG100" s="194"/>
      <c r="AI100" s="47"/>
      <c r="AJ100" s="223"/>
      <c r="AK100" s="47"/>
      <c r="AL100" s="47"/>
      <c r="AM100" s="47"/>
      <c r="AN100" s="47"/>
      <c r="AO100" s="47"/>
      <c r="AP100" s="194"/>
      <c r="AQ100" s="47"/>
      <c r="AR100" s="47"/>
      <c r="AS100" s="47"/>
      <c r="AT100" s="194"/>
      <c r="AU100" s="194"/>
      <c r="AV100" s="194"/>
      <c r="AW100" s="194"/>
      <c r="AX100" s="194"/>
      <c r="AY100" s="194"/>
      <c r="AZ100" s="194"/>
      <c r="BA100" s="194"/>
      <c r="BB100" s="194"/>
      <c r="BC100" s="194"/>
      <c r="BD100" s="194"/>
      <c r="BE100" s="194"/>
      <c r="BF100" s="194"/>
      <c r="BG100" s="194"/>
      <c r="BH100" s="194"/>
      <c r="BI100" s="194"/>
      <c r="BJ100" s="194"/>
      <c r="BK100" s="194"/>
      <c r="BL100" s="194"/>
      <c r="BM100" s="194"/>
      <c r="BN100" s="194"/>
      <c r="BO100" s="194"/>
      <c r="BP100" s="194"/>
      <c r="BQ100" s="47"/>
      <c r="BR100" s="194"/>
      <c r="BS100" s="47"/>
      <c r="BT100" s="47"/>
      <c r="BU100" s="47"/>
      <c r="BV100" s="47"/>
      <c r="BW100" s="47"/>
      <c r="BX100" s="194"/>
      <c r="BY100" s="194"/>
      <c r="BZ100" s="194"/>
      <c r="CA100" s="194"/>
      <c r="CB100" s="194"/>
      <c r="CC100" s="47"/>
      <c r="CD100" s="47"/>
      <c r="CE100" s="47"/>
      <c r="CF100" s="47"/>
      <c r="CG100" s="47"/>
      <c r="CH100" s="47"/>
      <c r="CI100" s="47"/>
      <c r="CJ100" s="47"/>
      <c r="CK100" s="194"/>
      <c r="CL100" s="194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194"/>
      <c r="CY100" s="47"/>
      <c r="CZ100" s="47"/>
      <c r="DA100" s="47">
        <v>30</v>
      </c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198"/>
      <c r="DX100" s="47"/>
      <c r="DY100" s="194"/>
      <c r="DZ100" s="47"/>
      <c r="EA100" s="47"/>
      <c r="EB100" s="194"/>
      <c r="EC100" s="47"/>
      <c r="ED100" s="195"/>
      <c r="EE100" s="195"/>
      <c r="EF100" s="195"/>
      <c r="EG100" s="195"/>
      <c r="EH100" s="195">
        <v>6</v>
      </c>
      <c r="EI100" s="196">
        <f t="shared" si="2"/>
        <v>0</v>
      </c>
      <c r="EJ100" s="201">
        <f t="shared" si="3"/>
        <v>0</v>
      </c>
      <c r="EK100" s="202">
        <v>28</v>
      </c>
      <c r="FA100" s="251">
        <f t="shared" si="6"/>
        <v>0</v>
      </c>
    </row>
    <row r="101" spans="1:157" s="1" customFormat="1" ht="20.149999999999999" customHeight="1" x14ac:dyDescent="0.35">
      <c r="A101" s="2"/>
      <c r="B101" s="47" t="s">
        <v>875</v>
      </c>
      <c r="C101" s="47" t="s">
        <v>1672</v>
      </c>
      <c r="D101" s="252" t="s">
        <v>56</v>
      </c>
      <c r="E101" s="2" t="s">
        <v>33</v>
      </c>
      <c r="F101" s="2" t="s">
        <v>1201</v>
      </c>
      <c r="G101" s="2" t="s">
        <v>45</v>
      </c>
      <c r="H101" s="57"/>
      <c r="I101" s="47"/>
      <c r="J101" s="47"/>
      <c r="K101" s="47"/>
      <c r="L101" s="47"/>
      <c r="M101" s="47"/>
      <c r="N101" s="194"/>
      <c r="O101" s="194"/>
      <c r="P101" s="194"/>
      <c r="Q101" s="194"/>
      <c r="R101" s="47"/>
      <c r="S101" s="194"/>
      <c r="T101" s="47"/>
      <c r="U101" s="194"/>
      <c r="V101" s="47"/>
      <c r="W101" s="194"/>
      <c r="X101" s="47"/>
      <c r="Y101" s="194"/>
      <c r="Z101" s="194"/>
      <c r="AA101" s="47"/>
      <c r="AB101" s="47"/>
      <c r="AC101" s="47"/>
      <c r="AD101" s="47"/>
      <c r="AE101" s="194"/>
      <c r="AF101" s="194"/>
      <c r="AG101" s="194"/>
      <c r="AI101" s="47"/>
      <c r="AJ101" s="223"/>
      <c r="AK101" s="47"/>
      <c r="AL101" s="47"/>
      <c r="AM101" s="47"/>
      <c r="AN101" s="47"/>
      <c r="AO101" s="47"/>
      <c r="AP101" s="194"/>
      <c r="AQ101" s="47"/>
      <c r="AR101" s="47"/>
      <c r="AS101" s="47"/>
      <c r="AT101" s="194"/>
      <c r="AU101" s="194"/>
      <c r="AV101" s="194"/>
      <c r="AW101" s="194"/>
      <c r="AX101" s="194"/>
      <c r="AY101" s="194"/>
      <c r="AZ101" s="194"/>
      <c r="BA101" s="194"/>
      <c r="BB101" s="194"/>
      <c r="BC101" s="194"/>
      <c r="BD101" s="194"/>
      <c r="BE101" s="194"/>
      <c r="BF101" s="194"/>
      <c r="BG101" s="194"/>
      <c r="BH101" s="194"/>
      <c r="BI101" s="194"/>
      <c r="BJ101" s="194"/>
      <c r="BK101" s="194"/>
      <c r="BL101" s="194"/>
      <c r="BM101" s="194"/>
      <c r="BN101" s="194"/>
      <c r="BO101" s="194"/>
      <c r="BP101" s="194"/>
      <c r="BQ101" s="47"/>
      <c r="BR101" s="194"/>
      <c r="BS101" s="47"/>
      <c r="BT101" s="47"/>
      <c r="BU101" s="47"/>
      <c r="BV101" s="47"/>
      <c r="BW101" s="47"/>
      <c r="BX101" s="194"/>
      <c r="BY101" s="194"/>
      <c r="BZ101" s="194"/>
      <c r="CA101" s="194"/>
      <c r="CB101" s="194"/>
      <c r="CC101" s="47"/>
      <c r="CD101" s="47"/>
      <c r="CE101" s="47"/>
      <c r="CF101" s="47"/>
      <c r="CG101" s="47"/>
      <c r="CH101" s="47"/>
      <c r="CI101" s="47"/>
      <c r="CJ101" s="47"/>
      <c r="CK101" s="194"/>
      <c r="CL101" s="194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194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198">
        <v>3</v>
      </c>
      <c r="DX101" s="47"/>
      <c r="DY101" s="194"/>
      <c r="DZ101" s="47"/>
      <c r="EA101" s="47"/>
      <c r="EB101" s="194"/>
      <c r="EC101" s="47"/>
      <c r="ED101" s="195"/>
      <c r="EE101" s="195"/>
      <c r="EF101" s="195"/>
      <c r="EG101" s="195"/>
      <c r="EH101" s="195"/>
      <c r="EI101" s="196">
        <f t="shared" si="2"/>
        <v>0</v>
      </c>
      <c r="EJ101" s="201">
        <f t="shared" si="3"/>
        <v>0</v>
      </c>
      <c r="EK101" s="202">
        <v>0</v>
      </c>
      <c r="FA101" s="251">
        <f t="shared" si="6"/>
        <v>0</v>
      </c>
    </row>
    <row r="102" spans="1:157" s="1" customFormat="1" ht="20.149999999999999" customHeight="1" x14ac:dyDescent="0.35">
      <c r="A102" s="47"/>
      <c r="B102" s="47" t="s">
        <v>876</v>
      </c>
      <c r="C102" s="47" t="s">
        <v>1675</v>
      </c>
      <c r="D102" s="2"/>
      <c r="E102" s="2" t="s">
        <v>317</v>
      </c>
      <c r="F102" s="2" t="s">
        <v>31</v>
      </c>
      <c r="G102" s="2" t="s">
        <v>37</v>
      </c>
      <c r="H102" s="57">
        <v>15</v>
      </c>
      <c r="I102" s="47"/>
      <c r="J102" s="47"/>
      <c r="K102" s="47"/>
      <c r="L102" s="47"/>
      <c r="M102" s="47"/>
      <c r="N102" s="194"/>
      <c r="O102" s="194"/>
      <c r="P102" s="194"/>
      <c r="Q102" s="194"/>
      <c r="R102" s="47"/>
      <c r="S102" s="194"/>
      <c r="T102" s="47"/>
      <c r="U102" s="194"/>
      <c r="V102" s="47"/>
      <c r="W102" s="194"/>
      <c r="X102" s="47"/>
      <c r="Y102" s="194"/>
      <c r="Z102" s="194"/>
      <c r="AA102" s="47"/>
      <c r="AB102" s="47"/>
      <c r="AC102" s="47"/>
      <c r="AD102" s="47"/>
      <c r="AE102" s="194"/>
      <c r="AF102" s="194">
        <v>40</v>
      </c>
      <c r="AG102" s="194"/>
      <c r="AI102" s="47"/>
      <c r="AJ102" s="223"/>
      <c r="AK102" s="47"/>
      <c r="AL102" s="47"/>
      <c r="AM102" s="47"/>
      <c r="AN102" s="47"/>
      <c r="AO102" s="47"/>
      <c r="AP102" s="194"/>
      <c r="AQ102" s="47"/>
      <c r="AR102" s="47"/>
      <c r="AS102" s="47"/>
      <c r="AT102" s="194"/>
      <c r="AU102" s="194"/>
      <c r="AV102" s="194"/>
      <c r="AW102" s="194">
        <v>40</v>
      </c>
      <c r="AX102" s="194"/>
      <c r="AY102" s="194"/>
      <c r="AZ102" s="194"/>
      <c r="BA102" s="194"/>
      <c r="BB102" s="194"/>
      <c r="BC102" s="194"/>
      <c r="BD102" s="194"/>
      <c r="BE102" s="194"/>
      <c r="BF102" s="194"/>
      <c r="BG102" s="194"/>
      <c r="BH102" s="194"/>
      <c r="BI102" s="194"/>
      <c r="BJ102" s="194"/>
      <c r="BK102" s="194"/>
      <c r="BL102" s="194"/>
      <c r="BM102" s="194"/>
      <c r="BN102" s="194"/>
      <c r="BO102" s="194"/>
      <c r="BP102" s="194"/>
      <c r="BQ102" s="47"/>
      <c r="BR102" s="194"/>
      <c r="BS102" s="47"/>
      <c r="BT102" s="47"/>
      <c r="BU102" s="47"/>
      <c r="BV102" s="47"/>
      <c r="BW102" s="47"/>
      <c r="BX102" s="194"/>
      <c r="BY102" s="194"/>
      <c r="BZ102" s="194"/>
      <c r="CA102" s="194"/>
      <c r="CB102" s="194"/>
      <c r="CC102" s="47"/>
      <c r="CD102" s="47"/>
      <c r="CE102" s="47"/>
      <c r="CF102" s="47"/>
      <c r="CG102" s="47"/>
      <c r="CH102" s="47"/>
      <c r="CI102" s="47"/>
      <c r="CJ102" s="47"/>
      <c r="CK102" s="224"/>
      <c r="CL102" s="194"/>
      <c r="CM102" s="47"/>
      <c r="CN102" s="47"/>
      <c r="CO102" s="47">
        <v>40</v>
      </c>
      <c r="CP102" s="47">
        <v>40</v>
      </c>
      <c r="CQ102" s="47"/>
      <c r="CR102" s="47"/>
      <c r="CS102" s="47"/>
      <c r="CT102" s="47"/>
      <c r="CU102" s="47"/>
      <c r="CV102" s="47"/>
      <c r="CW102" s="47"/>
      <c r="CX102" s="194">
        <v>40</v>
      </c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198"/>
      <c r="DX102" s="47"/>
      <c r="DY102" s="194"/>
      <c r="DZ102" s="47"/>
      <c r="EA102" s="47"/>
      <c r="EB102" s="194"/>
      <c r="EC102" s="47"/>
      <c r="ED102" s="195"/>
      <c r="EE102" s="195"/>
      <c r="EF102" s="195"/>
      <c r="EG102" s="195"/>
      <c r="EH102" s="195">
        <v>5</v>
      </c>
      <c r="EI102" s="196">
        <f t="shared" si="2"/>
        <v>75</v>
      </c>
      <c r="EJ102" s="201">
        <f t="shared" si="3"/>
        <v>19.05</v>
      </c>
      <c r="EK102" s="202">
        <f>AVERAGE(I102:EC102)</f>
        <v>40</v>
      </c>
      <c r="FA102" s="251">
        <f t="shared" si="6"/>
        <v>15</v>
      </c>
    </row>
    <row r="103" spans="1:157" s="1" customFormat="1" ht="20.149999999999999" customHeight="1" x14ac:dyDescent="0.35">
      <c r="A103" s="47" t="s">
        <v>1313</v>
      </c>
      <c r="B103" s="47" t="s">
        <v>877</v>
      </c>
      <c r="C103" s="47" t="s">
        <v>1675</v>
      </c>
      <c r="D103" s="2"/>
      <c r="E103" s="40" t="s">
        <v>317</v>
      </c>
      <c r="F103" s="2" t="s">
        <v>1676</v>
      </c>
      <c r="G103" s="2" t="s">
        <v>37</v>
      </c>
      <c r="H103" s="57">
        <f>H102/1000*80*10</f>
        <v>12</v>
      </c>
      <c r="I103" s="47"/>
      <c r="J103" s="47"/>
      <c r="K103" s="47"/>
      <c r="L103" s="47"/>
      <c r="M103" s="47"/>
      <c r="N103" s="194"/>
      <c r="O103" s="194"/>
      <c r="P103" s="194"/>
      <c r="Q103" s="194"/>
      <c r="R103" s="47"/>
      <c r="S103" s="194"/>
      <c r="T103" s="47"/>
      <c r="U103" s="194"/>
      <c r="V103" s="47"/>
      <c r="W103" s="194"/>
      <c r="X103" s="47"/>
      <c r="Y103" s="194"/>
      <c r="Z103" s="194"/>
      <c r="AA103" s="47"/>
      <c r="AB103" s="47"/>
      <c r="AC103" s="47"/>
      <c r="AD103" s="47"/>
      <c r="AE103" s="194"/>
      <c r="AF103" s="194"/>
      <c r="AG103" s="194"/>
      <c r="AI103" s="47"/>
      <c r="AJ103" s="223"/>
      <c r="AK103" s="47"/>
      <c r="AL103" s="47"/>
      <c r="AM103" s="47"/>
      <c r="AN103" s="47"/>
      <c r="AO103" s="47"/>
      <c r="AP103" s="194"/>
      <c r="AQ103" s="47"/>
      <c r="AR103" s="47"/>
      <c r="AS103" s="47"/>
      <c r="AT103" s="194"/>
      <c r="AU103" s="194"/>
      <c r="AV103" s="194"/>
      <c r="AW103" s="194"/>
      <c r="AX103" s="194"/>
      <c r="AY103" s="194"/>
      <c r="AZ103" s="194"/>
      <c r="BA103" s="194"/>
      <c r="BB103" s="194"/>
      <c r="BC103" s="194"/>
      <c r="BD103" s="194"/>
      <c r="BE103" s="194"/>
      <c r="BF103" s="194"/>
      <c r="BG103" s="194"/>
      <c r="BH103" s="194"/>
      <c r="BI103" s="194"/>
      <c r="BJ103" s="194"/>
      <c r="BK103" s="194"/>
      <c r="BL103" s="194"/>
      <c r="BM103" s="194"/>
      <c r="BN103" s="194"/>
      <c r="BO103" s="194"/>
      <c r="BP103" s="194"/>
      <c r="BQ103" s="47"/>
      <c r="BR103" s="194"/>
      <c r="BS103" s="47"/>
      <c r="BT103" s="47"/>
      <c r="BU103" s="47"/>
      <c r="BV103" s="47"/>
      <c r="BW103" s="47"/>
      <c r="BX103" s="194"/>
      <c r="BY103" s="194"/>
      <c r="BZ103" s="194"/>
      <c r="CA103" s="194"/>
      <c r="CB103" s="194"/>
      <c r="CC103" s="47"/>
      <c r="CD103" s="47"/>
      <c r="CE103" s="47"/>
      <c r="CF103" s="47"/>
      <c r="CG103" s="47"/>
      <c r="CH103" s="47"/>
      <c r="CI103" s="47"/>
      <c r="CJ103" s="47"/>
      <c r="CK103" s="224"/>
      <c r="CL103" s="194"/>
      <c r="CM103" s="47"/>
      <c r="CN103" s="47"/>
      <c r="CO103" s="47"/>
      <c r="CP103" s="47"/>
      <c r="CQ103" s="47"/>
      <c r="CR103" s="47"/>
      <c r="CS103" s="47">
        <v>45</v>
      </c>
      <c r="CT103" s="47"/>
      <c r="CU103" s="47"/>
      <c r="CV103" s="47"/>
      <c r="CW103" s="47"/>
      <c r="CX103" s="194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198"/>
      <c r="DX103" s="47"/>
      <c r="DY103" s="194"/>
      <c r="DZ103" s="47"/>
      <c r="EA103" s="47"/>
      <c r="EB103" s="194"/>
      <c r="EC103" s="47"/>
      <c r="ED103" s="195"/>
      <c r="EE103" s="195"/>
      <c r="EF103" s="195"/>
      <c r="EG103" s="195"/>
      <c r="EH103" s="195">
        <v>2</v>
      </c>
      <c r="EI103" s="196">
        <f t="shared" si="2"/>
        <v>24</v>
      </c>
      <c r="EJ103" s="201">
        <f t="shared" si="3"/>
        <v>15.24</v>
      </c>
      <c r="EK103" s="202">
        <f>AVERAGE(I103:EC103)</f>
        <v>45</v>
      </c>
      <c r="FA103" s="251">
        <f t="shared" si="6"/>
        <v>12</v>
      </c>
    </row>
    <row r="104" spans="1:157" s="1" customFormat="1" ht="20.149999999999999" customHeight="1" x14ac:dyDescent="0.35">
      <c r="A104" s="47"/>
      <c r="B104" s="47" t="s">
        <v>879</v>
      </c>
      <c r="C104" s="47" t="s">
        <v>1675</v>
      </c>
      <c r="D104" s="2"/>
      <c r="E104" s="40" t="s">
        <v>317</v>
      </c>
      <c r="F104" s="2" t="s">
        <v>714</v>
      </c>
      <c r="G104" s="2" t="s">
        <v>37</v>
      </c>
      <c r="H104" s="57">
        <f>H102/1000*140*10</f>
        <v>21</v>
      </c>
      <c r="I104" s="47"/>
      <c r="J104" s="47"/>
      <c r="K104" s="47"/>
      <c r="L104" s="47"/>
      <c r="M104" s="47"/>
      <c r="N104" s="194"/>
      <c r="O104" s="194"/>
      <c r="P104" s="194"/>
      <c r="Q104" s="194"/>
      <c r="R104" s="47"/>
      <c r="S104" s="194"/>
      <c r="T104" s="47"/>
      <c r="U104" s="194"/>
      <c r="V104" s="47"/>
      <c r="W104" s="194"/>
      <c r="X104" s="47"/>
      <c r="Y104" s="194"/>
      <c r="Z104" s="194"/>
      <c r="AA104" s="47"/>
      <c r="AB104" s="47"/>
      <c r="AC104" s="47"/>
      <c r="AD104" s="47"/>
      <c r="AE104" s="194"/>
      <c r="AF104" s="194">
        <v>45</v>
      </c>
      <c r="AG104" s="194"/>
      <c r="AI104" s="47"/>
      <c r="AJ104" s="223"/>
      <c r="AK104" s="47"/>
      <c r="AL104" s="47"/>
      <c r="AM104" s="47"/>
      <c r="AN104" s="47"/>
      <c r="AO104" s="47"/>
      <c r="AP104" s="194"/>
      <c r="AQ104" s="47"/>
      <c r="AR104" s="47"/>
      <c r="AS104" s="47"/>
      <c r="AT104" s="194"/>
      <c r="AU104" s="194"/>
      <c r="AV104" s="194"/>
      <c r="AW104" s="194"/>
      <c r="AX104" s="194"/>
      <c r="AY104" s="194"/>
      <c r="AZ104" s="194"/>
      <c r="BA104" s="194"/>
      <c r="BB104" s="194"/>
      <c r="BC104" s="194"/>
      <c r="BD104" s="194"/>
      <c r="BE104" s="194"/>
      <c r="BF104" s="194"/>
      <c r="BG104" s="194"/>
      <c r="BH104" s="194"/>
      <c r="BI104" s="194"/>
      <c r="BJ104" s="194"/>
      <c r="BK104" s="194"/>
      <c r="BL104" s="194"/>
      <c r="BM104" s="194"/>
      <c r="BN104" s="194"/>
      <c r="BO104" s="194"/>
      <c r="BP104" s="194"/>
      <c r="BQ104" s="47"/>
      <c r="BR104" s="194"/>
      <c r="BS104" s="47"/>
      <c r="BT104" s="47"/>
      <c r="BU104" s="47"/>
      <c r="BV104" s="47"/>
      <c r="BW104" s="47"/>
      <c r="BX104" s="194"/>
      <c r="BY104" s="194"/>
      <c r="BZ104" s="194"/>
      <c r="CA104" s="194"/>
      <c r="CB104" s="194"/>
      <c r="CC104" s="47"/>
      <c r="CD104" s="47"/>
      <c r="CE104" s="47"/>
      <c r="CF104" s="47"/>
      <c r="CG104" s="47"/>
      <c r="CH104" s="47"/>
      <c r="CI104" s="47"/>
      <c r="CJ104" s="47"/>
      <c r="CK104" s="224"/>
      <c r="CL104" s="194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194">
        <v>45</v>
      </c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198"/>
      <c r="DX104" s="47"/>
      <c r="DY104" s="194"/>
      <c r="DZ104" s="47"/>
      <c r="EA104" s="47"/>
      <c r="EB104" s="194"/>
      <c r="EC104" s="47"/>
      <c r="ED104" s="195"/>
      <c r="EE104" s="195"/>
      <c r="EF104" s="195"/>
      <c r="EG104" s="195"/>
      <c r="EH104" s="195">
        <v>4</v>
      </c>
      <c r="EI104" s="196">
        <f t="shared" si="2"/>
        <v>84</v>
      </c>
      <c r="EJ104" s="201">
        <f t="shared" si="3"/>
        <v>26.67</v>
      </c>
      <c r="EK104" s="202">
        <f>AVERAGE(I104:EC104)</f>
        <v>45</v>
      </c>
      <c r="FA104" s="251">
        <f t="shared" si="6"/>
        <v>21</v>
      </c>
    </row>
    <row r="105" spans="1:157" s="1" customFormat="1" ht="20.149999999999999" customHeight="1" x14ac:dyDescent="0.35">
      <c r="A105" s="47" t="s">
        <v>1214</v>
      </c>
      <c r="B105" s="47" t="s">
        <v>1183</v>
      </c>
      <c r="C105" s="47" t="s">
        <v>1675</v>
      </c>
      <c r="D105" s="2"/>
      <c r="E105" s="40" t="s">
        <v>317</v>
      </c>
      <c r="F105" s="48" t="s">
        <v>1184</v>
      </c>
      <c r="G105" s="2"/>
      <c r="H105" s="57">
        <f>H102/1000*35*10</f>
        <v>5.25</v>
      </c>
      <c r="I105" s="47"/>
      <c r="J105" s="47"/>
      <c r="K105" s="47"/>
      <c r="L105" s="47"/>
      <c r="M105" s="47"/>
      <c r="N105" s="194"/>
      <c r="O105" s="194"/>
      <c r="P105" s="194"/>
      <c r="Q105" s="194"/>
      <c r="R105" s="47"/>
      <c r="S105" s="194"/>
      <c r="T105" s="47"/>
      <c r="U105" s="194"/>
      <c r="V105" s="47"/>
      <c r="W105" s="194"/>
      <c r="X105" s="47"/>
      <c r="Y105" s="194"/>
      <c r="Z105" s="194"/>
      <c r="AA105" s="47"/>
      <c r="AB105" s="47"/>
      <c r="AC105" s="47"/>
      <c r="AD105" s="47"/>
      <c r="AE105" s="194"/>
      <c r="AF105" s="194"/>
      <c r="AG105" s="194"/>
      <c r="AI105" s="47"/>
      <c r="AJ105" s="223"/>
      <c r="AK105" s="47"/>
      <c r="AL105" s="47"/>
      <c r="AM105" s="47"/>
      <c r="AN105" s="47"/>
      <c r="AO105" s="47"/>
      <c r="AP105" s="194"/>
      <c r="AQ105" s="47"/>
      <c r="AR105" s="47"/>
      <c r="AS105" s="47"/>
      <c r="AT105" s="194"/>
      <c r="AU105" s="194"/>
      <c r="AV105" s="194"/>
      <c r="AW105" s="194"/>
      <c r="AX105" s="194"/>
      <c r="AY105" s="194">
        <v>20</v>
      </c>
      <c r="AZ105" s="194"/>
      <c r="BA105" s="194"/>
      <c r="BB105" s="194"/>
      <c r="BC105" s="194"/>
      <c r="BD105" s="194"/>
      <c r="BE105" s="194"/>
      <c r="BF105" s="194"/>
      <c r="BG105" s="194"/>
      <c r="BH105" s="194"/>
      <c r="BI105" s="194"/>
      <c r="BJ105" s="194"/>
      <c r="BK105" s="194"/>
      <c r="BL105" s="194"/>
      <c r="BM105" s="194"/>
      <c r="BN105" s="194"/>
      <c r="BO105" s="194"/>
      <c r="BP105" s="194"/>
      <c r="BQ105" s="47"/>
      <c r="BR105" s="194"/>
      <c r="BS105" s="47"/>
      <c r="BT105" s="47"/>
      <c r="BU105" s="47"/>
      <c r="BV105" s="47"/>
      <c r="BW105" s="47"/>
      <c r="BX105" s="194"/>
      <c r="BY105" s="194"/>
      <c r="BZ105" s="194"/>
      <c r="CA105" s="194"/>
      <c r="CB105" s="194"/>
      <c r="CC105" s="47"/>
      <c r="CD105" s="47"/>
      <c r="CE105" s="47"/>
      <c r="CF105" s="47"/>
      <c r="CG105" s="47"/>
      <c r="CH105" s="47"/>
      <c r="CI105" s="47"/>
      <c r="CJ105" s="47"/>
      <c r="CK105" s="224"/>
      <c r="CL105" s="194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194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198"/>
      <c r="DX105" s="47"/>
      <c r="DY105" s="194"/>
      <c r="DZ105" s="47"/>
      <c r="EA105" s="47"/>
      <c r="EB105" s="194"/>
      <c r="EC105" s="47"/>
      <c r="ED105" s="195"/>
      <c r="EE105" s="195"/>
      <c r="EF105" s="195"/>
      <c r="EG105" s="195"/>
      <c r="EH105" s="195"/>
      <c r="EI105" s="196"/>
      <c r="EJ105" s="201"/>
      <c r="EK105" s="202"/>
      <c r="FA105" s="251">
        <f t="shared" si="6"/>
        <v>5.25</v>
      </c>
    </row>
    <row r="106" spans="1:157" s="1" customFormat="1" ht="20.149999999999999" customHeight="1" x14ac:dyDescent="0.35">
      <c r="A106" s="47"/>
      <c r="B106" s="189" t="s">
        <v>1509</v>
      </c>
      <c r="C106" s="47" t="s">
        <v>1510</v>
      </c>
      <c r="D106" s="48"/>
      <c r="E106" s="2" t="s">
        <v>33</v>
      </c>
      <c r="F106" s="48" t="s">
        <v>31</v>
      </c>
      <c r="G106" s="48" t="s">
        <v>1511</v>
      </c>
      <c r="H106" s="57"/>
      <c r="I106" s="47"/>
      <c r="J106" s="47"/>
      <c r="K106" s="47"/>
      <c r="L106" s="47"/>
      <c r="M106" s="47"/>
      <c r="N106" s="194"/>
      <c r="O106" s="194"/>
      <c r="P106" s="194"/>
      <c r="Q106" s="194"/>
      <c r="R106" s="47"/>
      <c r="S106" s="194"/>
      <c r="T106" s="47"/>
      <c r="U106" s="194"/>
      <c r="V106" s="47"/>
      <c r="W106" s="194"/>
      <c r="X106" s="47"/>
      <c r="Y106" s="194"/>
      <c r="Z106" s="194"/>
      <c r="AA106" s="47"/>
      <c r="AB106" s="47"/>
      <c r="AC106" s="47"/>
      <c r="AD106" s="47"/>
      <c r="AE106" s="194"/>
      <c r="AF106" s="194"/>
      <c r="AG106" s="194"/>
      <c r="AI106" s="47"/>
      <c r="AJ106" s="223"/>
      <c r="AK106" s="47"/>
      <c r="AL106" s="47"/>
      <c r="AM106" s="47"/>
      <c r="AN106" s="47"/>
      <c r="AO106" s="47"/>
      <c r="AP106" s="194"/>
      <c r="AQ106" s="47"/>
      <c r="AR106" s="47"/>
      <c r="AS106" s="47"/>
      <c r="AT106" s="194"/>
      <c r="AU106" s="194"/>
      <c r="AV106" s="194"/>
      <c r="AW106" s="194"/>
      <c r="AX106" s="194"/>
      <c r="AY106" s="194"/>
      <c r="AZ106" s="194"/>
      <c r="BA106" s="194"/>
      <c r="BB106" s="194"/>
      <c r="BC106" s="194"/>
      <c r="BD106" s="194"/>
      <c r="BE106" s="194"/>
      <c r="BF106" s="194"/>
      <c r="BG106" s="194"/>
      <c r="BH106" s="194"/>
      <c r="BI106" s="194"/>
      <c r="BJ106" s="194"/>
      <c r="BK106" s="194"/>
      <c r="BL106" s="194"/>
      <c r="BM106" s="194"/>
      <c r="BN106" s="194"/>
      <c r="BO106" s="194"/>
      <c r="BP106" s="194"/>
      <c r="BQ106" s="47"/>
      <c r="BR106" s="194"/>
      <c r="BS106" s="47"/>
      <c r="BT106" s="47"/>
      <c r="BU106" s="47"/>
      <c r="BV106" s="47"/>
      <c r="BW106" s="47"/>
      <c r="BX106" s="194"/>
      <c r="BY106" s="194"/>
      <c r="BZ106" s="194"/>
      <c r="CA106" s="194"/>
      <c r="CB106" s="194"/>
      <c r="CC106" s="47"/>
      <c r="CD106" s="47"/>
      <c r="CE106" s="47"/>
      <c r="CF106" s="47"/>
      <c r="CG106" s="47"/>
      <c r="CH106" s="47"/>
      <c r="CI106" s="47"/>
      <c r="CJ106" s="47"/>
      <c r="CK106" s="224"/>
      <c r="CL106" s="194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>
        <v>40</v>
      </c>
      <c r="CW106" s="47"/>
      <c r="CX106" s="194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198"/>
      <c r="DX106" s="47"/>
      <c r="DY106" s="194"/>
      <c r="DZ106" s="47"/>
      <c r="EA106" s="47"/>
      <c r="EB106" s="194"/>
      <c r="EC106" s="47"/>
      <c r="ED106" s="195"/>
      <c r="EE106" s="195"/>
      <c r="EF106" s="195"/>
      <c r="EG106" s="195"/>
      <c r="EH106" s="195"/>
      <c r="EI106" s="196"/>
      <c r="EJ106" s="201"/>
      <c r="EK106" s="202"/>
      <c r="FA106" s="251"/>
    </row>
    <row r="107" spans="1:157" s="1" customFormat="1" ht="20.149999999999999" customHeight="1" x14ac:dyDescent="0.35">
      <c r="A107" s="47"/>
      <c r="B107" s="47" t="s">
        <v>878</v>
      </c>
      <c r="C107" s="47" t="s">
        <v>1677</v>
      </c>
      <c r="D107" s="2"/>
      <c r="E107" s="376" t="s">
        <v>368</v>
      </c>
      <c r="F107" s="2" t="s">
        <v>65</v>
      </c>
      <c r="G107" s="2" t="s">
        <v>1678</v>
      </c>
      <c r="H107" s="328">
        <v>31.5</v>
      </c>
      <c r="I107" s="47"/>
      <c r="J107" s="47"/>
      <c r="K107" s="47"/>
      <c r="L107" s="47"/>
      <c r="M107" s="47"/>
      <c r="N107" s="194"/>
      <c r="O107" s="194"/>
      <c r="P107" s="194"/>
      <c r="Q107" s="194"/>
      <c r="R107" s="47"/>
      <c r="S107" s="194"/>
      <c r="T107" s="47"/>
      <c r="U107" s="194"/>
      <c r="V107" s="47"/>
      <c r="W107" s="194"/>
      <c r="X107" s="47"/>
      <c r="Y107" s="194"/>
      <c r="Z107" s="194"/>
      <c r="AA107" s="47"/>
      <c r="AB107" s="47"/>
      <c r="AC107" s="47"/>
      <c r="AD107" s="47"/>
      <c r="AE107" s="194"/>
      <c r="AF107" s="194"/>
      <c r="AG107" s="194"/>
      <c r="AI107" s="47"/>
      <c r="AJ107" s="223"/>
      <c r="AK107" s="47"/>
      <c r="AL107" s="47"/>
      <c r="AM107" s="47"/>
      <c r="AN107" s="47"/>
      <c r="AO107" s="47"/>
      <c r="AP107" s="194"/>
      <c r="AQ107" s="47"/>
      <c r="AR107" s="47"/>
      <c r="AS107" s="47"/>
      <c r="AT107" s="194"/>
      <c r="AU107" s="194"/>
      <c r="AV107" s="194"/>
      <c r="AW107" s="194"/>
      <c r="AX107" s="194"/>
      <c r="AY107" s="194"/>
      <c r="AZ107" s="194"/>
      <c r="BA107" s="194"/>
      <c r="BB107" s="194"/>
      <c r="BC107" s="194"/>
      <c r="BD107" s="194"/>
      <c r="BE107" s="194"/>
      <c r="BF107" s="194"/>
      <c r="BG107" s="194"/>
      <c r="BH107" s="194"/>
      <c r="BI107" s="194"/>
      <c r="BJ107" s="194"/>
      <c r="BK107" s="194"/>
      <c r="BL107" s="194"/>
      <c r="BM107" s="194"/>
      <c r="BN107" s="194"/>
      <c r="BO107" s="194"/>
      <c r="BP107" s="194"/>
      <c r="BQ107" s="47"/>
      <c r="BR107" s="194"/>
      <c r="BS107" s="47"/>
      <c r="BT107" s="47"/>
      <c r="BU107" s="47"/>
      <c r="BV107" s="47"/>
      <c r="BW107" s="47"/>
      <c r="BX107" s="194"/>
      <c r="BY107" s="194"/>
      <c r="BZ107" s="194"/>
      <c r="CA107" s="194"/>
      <c r="CB107" s="194"/>
      <c r="CC107" s="47"/>
      <c r="CD107" s="47"/>
      <c r="CE107" s="47"/>
      <c r="CF107" s="47"/>
      <c r="CG107" s="47"/>
      <c r="CH107" s="47"/>
      <c r="CI107" s="47"/>
      <c r="CJ107" s="47"/>
      <c r="CK107" s="224"/>
      <c r="CL107" s="194"/>
      <c r="CM107" s="47"/>
      <c r="CN107" s="47"/>
      <c r="CO107" s="47"/>
      <c r="CP107" s="47"/>
      <c r="CQ107" s="47"/>
      <c r="CR107" s="47"/>
      <c r="CS107" s="47"/>
      <c r="CT107" s="47"/>
      <c r="CU107" s="47"/>
      <c r="CV107" s="47"/>
      <c r="CW107" s="47"/>
      <c r="CX107" s="194"/>
      <c r="CY107" s="47"/>
      <c r="CZ107" s="47"/>
      <c r="DA107" s="47"/>
      <c r="DB107" s="47"/>
      <c r="DC107" s="47"/>
      <c r="DD107" s="47"/>
      <c r="DE107" s="47"/>
      <c r="DF107" s="47"/>
      <c r="DG107" s="47"/>
      <c r="DH107" s="47"/>
      <c r="DI107" s="47"/>
      <c r="DJ107" s="47"/>
      <c r="DK107" s="47"/>
      <c r="DL107" s="47"/>
      <c r="DM107" s="47"/>
      <c r="DN107" s="47"/>
      <c r="DO107" s="47"/>
      <c r="DP107" s="47"/>
      <c r="DQ107" s="47"/>
      <c r="DR107" s="47"/>
      <c r="DS107" s="47"/>
      <c r="DT107" s="47"/>
      <c r="DU107" s="47"/>
      <c r="DV107" s="47"/>
      <c r="DW107" s="198"/>
      <c r="DX107" s="47"/>
      <c r="DY107" s="194"/>
      <c r="DZ107" s="47"/>
      <c r="EA107" s="47"/>
      <c r="EB107" s="194"/>
      <c r="EC107" s="47"/>
      <c r="ED107" s="195"/>
      <c r="EE107" s="195"/>
      <c r="EF107" s="195"/>
      <c r="EG107" s="195"/>
      <c r="EH107" s="195">
        <v>2</v>
      </c>
      <c r="EI107" s="196">
        <f t="shared" si="2"/>
        <v>63</v>
      </c>
      <c r="EJ107" s="201">
        <f t="shared" si="3"/>
        <v>40.005000000000003</v>
      </c>
      <c r="EK107" s="202">
        <v>0</v>
      </c>
      <c r="FA107" s="251">
        <f t="shared" si="6"/>
        <v>31.5</v>
      </c>
    </row>
    <row r="108" spans="1:157" s="1" customFormat="1" ht="20.149999999999999" customHeight="1" x14ac:dyDescent="0.35">
      <c r="A108" s="47" t="s">
        <v>880</v>
      </c>
      <c r="B108" s="47" t="s">
        <v>882</v>
      </c>
      <c r="C108" s="47" t="s">
        <v>1677</v>
      </c>
      <c r="D108" s="2"/>
      <c r="E108" s="376" t="s">
        <v>368</v>
      </c>
      <c r="F108" s="2" t="s">
        <v>369</v>
      </c>
      <c r="G108" s="2" t="s">
        <v>37</v>
      </c>
      <c r="H108" s="328">
        <f>H107/1000*110*10</f>
        <v>34.65</v>
      </c>
      <c r="I108" s="47"/>
      <c r="J108" s="47"/>
      <c r="K108" s="47"/>
      <c r="L108" s="47"/>
      <c r="M108" s="47"/>
      <c r="N108" s="194"/>
      <c r="O108" s="194"/>
      <c r="P108" s="194"/>
      <c r="Q108" s="194"/>
      <c r="R108" s="47"/>
      <c r="S108" s="194"/>
      <c r="T108" s="47"/>
      <c r="U108" s="194"/>
      <c r="V108" s="47"/>
      <c r="W108" s="194"/>
      <c r="X108" s="47"/>
      <c r="Y108" s="194"/>
      <c r="Z108" s="194"/>
      <c r="AA108" s="47"/>
      <c r="AB108" s="47"/>
      <c r="AC108" s="47"/>
      <c r="AD108" s="47"/>
      <c r="AE108" s="194"/>
      <c r="AF108" s="194"/>
      <c r="AG108" s="194"/>
      <c r="AI108" s="47"/>
      <c r="AJ108" s="223"/>
      <c r="AK108" s="47"/>
      <c r="AL108" s="47"/>
      <c r="AM108" s="47"/>
      <c r="AN108" s="47"/>
      <c r="AO108" s="47"/>
      <c r="AP108" s="194"/>
      <c r="AQ108" s="47"/>
      <c r="AR108" s="47"/>
      <c r="AS108" s="47"/>
      <c r="AT108" s="194"/>
      <c r="AU108" s="194"/>
      <c r="AV108" s="194"/>
      <c r="AW108" s="194"/>
      <c r="AX108" s="194"/>
      <c r="AY108" s="194"/>
      <c r="AZ108" s="194"/>
      <c r="BA108" s="194"/>
      <c r="BB108" s="194"/>
      <c r="BC108" s="194"/>
      <c r="BD108" s="194"/>
      <c r="BE108" s="194"/>
      <c r="BF108" s="194"/>
      <c r="BG108" s="194"/>
      <c r="BH108" s="194"/>
      <c r="BI108" s="194"/>
      <c r="BJ108" s="194"/>
      <c r="BK108" s="194"/>
      <c r="BL108" s="194"/>
      <c r="BM108" s="194"/>
      <c r="BN108" s="194"/>
      <c r="BO108" s="194"/>
      <c r="BP108" s="194"/>
      <c r="BQ108" s="47"/>
      <c r="BR108" s="194"/>
      <c r="BS108" s="47">
        <v>45</v>
      </c>
      <c r="BT108" s="47"/>
      <c r="BU108" s="47"/>
      <c r="BV108" s="47"/>
      <c r="BW108" s="47"/>
      <c r="BX108" s="194"/>
      <c r="BY108" s="194"/>
      <c r="BZ108" s="194"/>
      <c r="CA108" s="194"/>
      <c r="CB108" s="194"/>
      <c r="CC108" s="47"/>
      <c r="CD108" s="47"/>
      <c r="CE108" s="47"/>
      <c r="CF108" s="47"/>
      <c r="CG108" s="47"/>
      <c r="CH108" s="47"/>
      <c r="CI108" s="47"/>
      <c r="CJ108" s="47"/>
      <c r="CK108" s="224"/>
      <c r="CL108" s="194"/>
      <c r="CM108" s="47"/>
      <c r="CN108" s="47"/>
      <c r="CO108" s="47"/>
      <c r="CP108" s="47"/>
      <c r="CQ108" s="47"/>
      <c r="CR108" s="47"/>
      <c r="CS108" s="198"/>
      <c r="CT108" s="47"/>
      <c r="CU108" s="47"/>
      <c r="CV108" s="47"/>
      <c r="CW108" s="47"/>
      <c r="CX108" s="194"/>
      <c r="CY108" s="47"/>
      <c r="CZ108" s="47"/>
      <c r="DA108" s="47"/>
      <c r="DB108" s="47"/>
      <c r="DC108" s="47"/>
      <c r="DD108" s="47"/>
      <c r="DE108" s="47"/>
      <c r="DF108" s="47"/>
      <c r="DG108" s="47"/>
      <c r="DH108" s="47"/>
      <c r="DI108" s="47"/>
      <c r="DJ108" s="47"/>
      <c r="DK108" s="47"/>
      <c r="DL108" s="47"/>
      <c r="DM108" s="47"/>
      <c r="DN108" s="47"/>
      <c r="DO108" s="47"/>
      <c r="DP108" s="47"/>
      <c r="DQ108" s="47"/>
      <c r="DR108" s="47"/>
      <c r="DS108" s="47"/>
      <c r="DT108" s="47"/>
      <c r="DU108" s="47"/>
      <c r="DV108" s="47"/>
      <c r="DW108" s="198"/>
      <c r="DX108" s="47"/>
      <c r="DY108" s="194"/>
      <c r="DZ108" s="198"/>
      <c r="EA108" s="47"/>
      <c r="EB108" s="194"/>
      <c r="EC108" s="47"/>
      <c r="ED108" s="195"/>
      <c r="EE108" s="195"/>
      <c r="EF108" s="195"/>
      <c r="EG108" s="195"/>
      <c r="EH108" s="195"/>
      <c r="EI108" s="196">
        <f t="shared" si="2"/>
        <v>0</v>
      </c>
      <c r="EJ108" s="201">
        <f t="shared" si="3"/>
        <v>44.005499999999998</v>
      </c>
      <c r="EK108" s="202">
        <f>AVERAGE(I108:EC108)</f>
        <v>45</v>
      </c>
      <c r="FA108" s="251">
        <f t="shared" si="6"/>
        <v>34.65</v>
      </c>
    </row>
    <row r="109" spans="1:157" s="1" customFormat="1" ht="20.149999999999999" customHeight="1" x14ac:dyDescent="0.35">
      <c r="A109" s="47" t="s">
        <v>881</v>
      </c>
      <c r="B109" s="47" t="s">
        <v>1146</v>
      </c>
      <c r="C109" s="47" t="s">
        <v>1677</v>
      </c>
      <c r="D109" s="2" t="s">
        <v>56</v>
      </c>
      <c r="E109" s="376" t="s">
        <v>368</v>
      </c>
      <c r="F109" s="2" t="s">
        <v>1679</v>
      </c>
      <c r="G109" s="2" t="s">
        <v>37</v>
      </c>
      <c r="H109" s="328">
        <f>H108/1000*110*4</f>
        <v>15.246</v>
      </c>
      <c r="I109" s="47"/>
      <c r="J109" s="47"/>
      <c r="K109" s="47"/>
      <c r="L109" s="47"/>
      <c r="M109" s="47"/>
      <c r="N109" s="194"/>
      <c r="O109" s="194"/>
      <c r="P109" s="194"/>
      <c r="Q109" s="194"/>
      <c r="R109" s="47"/>
      <c r="S109" s="194"/>
      <c r="T109" s="47"/>
      <c r="U109" s="194"/>
      <c r="V109" s="47"/>
      <c r="W109" s="194"/>
      <c r="X109" s="47"/>
      <c r="Y109" s="194"/>
      <c r="Z109" s="194"/>
      <c r="AA109" s="47"/>
      <c r="AB109" s="47"/>
      <c r="AC109" s="47"/>
      <c r="AD109" s="47"/>
      <c r="AE109" s="194"/>
      <c r="AF109" s="194"/>
      <c r="AG109" s="194"/>
      <c r="AI109" s="47"/>
      <c r="AJ109" s="223"/>
      <c r="AK109" s="47"/>
      <c r="AL109" s="47"/>
      <c r="AM109" s="47"/>
      <c r="AN109" s="47"/>
      <c r="AO109" s="47"/>
      <c r="AP109" s="194"/>
      <c r="AQ109" s="47"/>
      <c r="AR109" s="47"/>
      <c r="AS109" s="47"/>
      <c r="AT109" s="194"/>
      <c r="AU109" s="194"/>
      <c r="AV109" s="194"/>
      <c r="AW109" s="194"/>
      <c r="AX109" s="194"/>
      <c r="AY109" s="194"/>
      <c r="AZ109" s="194"/>
      <c r="BA109" s="194"/>
      <c r="BB109" s="194"/>
      <c r="BC109" s="194"/>
      <c r="BD109" s="194"/>
      <c r="BE109" s="194"/>
      <c r="BF109" s="194"/>
      <c r="BG109" s="194"/>
      <c r="BH109" s="194"/>
      <c r="BI109" s="194"/>
      <c r="BJ109" s="194"/>
      <c r="BK109" s="194"/>
      <c r="BL109" s="194"/>
      <c r="BM109" s="194"/>
      <c r="BN109" s="194"/>
      <c r="BO109" s="194"/>
      <c r="BP109" s="194"/>
      <c r="BQ109" s="47"/>
      <c r="BR109" s="194"/>
      <c r="BS109" s="47"/>
      <c r="BT109" s="47"/>
      <c r="BU109" s="47"/>
      <c r="BV109" s="47"/>
      <c r="BW109" s="47"/>
      <c r="BX109" s="194"/>
      <c r="BY109" s="194"/>
      <c r="BZ109" s="194"/>
      <c r="CA109" s="194"/>
      <c r="CB109" s="194"/>
      <c r="CC109" s="47"/>
      <c r="CD109" s="47"/>
      <c r="CE109" s="47"/>
      <c r="CF109" s="47"/>
      <c r="CG109" s="47"/>
      <c r="CH109" s="47"/>
      <c r="CI109" s="47"/>
      <c r="CJ109" s="47"/>
      <c r="CK109" s="224"/>
      <c r="CL109" s="194"/>
      <c r="CM109" s="47"/>
      <c r="CN109" s="47"/>
      <c r="CO109" s="47"/>
      <c r="CP109" s="47"/>
      <c r="CQ109" s="47"/>
      <c r="CR109" s="47"/>
      <c r="CS109" s="47"/>
      <c r="CT109" s="47"/>
      <c r="CU109" s="47"/>
      <c r="CV109" s="47"/>
      <c r="CW109" s="47"/>
      <c r="CX109" s="194"/>
      <c r="CY109" s="47"/>
      <c r="CZ109" s="47"/>
      <c r="DA109" s="47"/>
      <c r="DB109" s="47"/>
      <c r="DC109" s="47"/>
      <c r="DD109" s="47"/>
      <c r="DE109" s="47"/>
      <c r="DF109" s="47"/>
      <c r="DG109" s="47"/>
      <c r="DH109" s="47"/>
      <c r="DI109" s="47"/>
      <c r="DJ109" s="47"/>
      <c r="DK109" s="47"/>
      <c r="DL109" s="47"/>
      <c r="DM109" s="47"/>
      <c r="DN109" s="47"/>
      <c r="DO109" s="47"/>
      <c r="DP109" s="47"/>
      <c r="DQ109" s="47"/>
      <c r="DR109" s="47"/>
      <c r="DS109" s="47"/>
      <c r="DT109" s="47"/>
      <c r="DU109" s="47"/>
      <c r="DV109" s="47"/>
      <c r="DW109" s="198"/>
      <c r="DX109" s="47"/>
      <c r="DY109" s="194"/>
      <c r="DZ109" s="198"/>
      <c r="EA109" s="47"/>
      <c r="EB109" s="194"/>
      <c r="EC109" s="47"/>
      <c r="ED109" s="195"/>
      <c r="EE109" s="195"/>
      <c r="EF109" s="195"/>
      <c r="EG109" s="195"/>
      <c r="EH109" s="195"/>
      <c r="EI109" s="196">
        <f t="shared" si="2"/>
        <v>0</v>
      </c>
      <c r="EJ109" s="201">
        <f t="shared" si="3"/>
        <v>19.36242</v>
      </c>
      <c r="EK109" s="202">
        <v>0</v>
      </c>
      <c r="FA109" s="251">
        <f t="shared" si="6"/>
        <v>15.246</v>
      </c>
    </row>
    <row r="110" spans="1:157" s="1" customFormat="1" ht="20.149999999999999" customHeight="1" x14ac:dyDescent="0.35">
      <c r="A110" s="47"/>
      <c r="B110" s="47" t="s">
        <v>1253</v>
      </c>
      <c r="C110" s="47" t="s">
        <v>1677</v>
      </c>
      <c r="D110" s="2" t="s">
        <v>56</v>
      </c>
      <c r="E110" s="376" t="s">
        <v>368</v>
      </c>
      <c r="F110" s="2" t="s">
        <v>1198</v>
      </c>
      <c r="G110" s="2" t="s">
        <v>45</v>
      </c>
      <c r="H110" s="328">
        <f>H109/1000*110</f>
        <v>1.67706</v>
      </c>
      <c r="I110" s="47"/>
      <c r="J110" s="47"/>
      <c r="K110" s="47"/>
      <c r="L110" s="47"/>
      <c r="M110" s="47"/>
      <c r="N110" s="194"/>
      <c r="O110" s="194"/>
      <c r="P110" s="194"/>
      <c r="Q110" s="194"/>
      <c r="R110" s="47"/>
      <c r="S110" s="194"/>
      <c r="T110" s="47"/>
      <c r="U110" s="194"/>
      <c r="V110" s="47"/>
      <c r="W110" s="194"/>
      <c r="X110" s="47"/>
      <c r="Y110" s="194"/>
      <c r="Z110" s="194"/>
      <c r="AA110" s="47"/>
      <c r="AB110" s="47"/>
      <c r="AC110" s="47"/>
      <c r="AD110" s="47"/>
      <c r="AE110" s="194"/>
      <c r="AF110" s="194"/>
      <c r="AG110" s="194"/>
      <c r="AI110" s="47"/>
      <c r="AJ110" s="223"/>
      <c r="AK110" s="47"/>
      <c r="AL110" s="47"/>
      <c r="AM110" s="47"/>
      <c r="AN110" s="47"/>
      <c r="AO110" s="47"/>
      <c r="AP110" s="194"/>
      <c r="AQ110" s="47"/>
      <c r="AR110" s="47"/>
      <c r="AS110" s="47"/>
      <c r="AT110" s="194"/>
      <c r="AU110" s="194"/>
      <c r="AV110" s="194"/>
      <c r="AW110" s="194"/>
      <c r="AX110" s="194"/>
      <c r="AY110" s="194"/>
      <c r="AZ110" s="194"/>
      <c r="BA110" s="194"/>
      <c r="BB110" s="194"/>
      <c r="BC110" s="194"/>
      <c r="BD110" s="194"/>
      <c r="BE110" s="194"/>
      <c r="BF110" s="194"/>
      <c r="BG110" s="194"/>
      <c r="BH110" s="194"/>
      <c r="BI110" s="194"/>
      <c r="BJ110" s="194"/>
      <c r="BK110" s="194"/>
      <c r="BL110" s="194"/>
      <c r="BM110" s="194"/>
      <c r="BN110" s="194"/>
      <c r="BO110" s="194"/>
      <c r="BP110" s="194"/>
      <c r="BQ110" s="47"/>
      <c r="BR110" s="194"/>
      <c r="BS110" s="47"/>
      <c r="BT110" s="47"/>
      <c r="BU110" s="47"/>
      <c r="BV110" s="47"/>
      <c r="BW110" s="47"/>
      <c r="BX110" s="194"/>
      <c r="BY110" s="194"/>
      <c r="BZ110" s="194"/>
      <c r="CA110" s="194"/>
      <c r="CB110" s="194"/>
      <c r="CC110" s="47"/>
      <c r="CD110" s="47"/>
      <c r="CE110" s="47"/>
      <c r="CF110" s="47"/>
      <c r="CG110" s="47"/>
      <c r="CH110" s="47"/>
      <c r="CI110" s="47"/>
      <c r="CJ110" s="47"/>
      <c r="CK110" s="224"/>
      <c r="CL110" s="194"/>
      <c r="CM110" s="47"/>
      <c r="CN110" s="47"/>
      <c r="CO110" s="47"/>
      <c r="CP110" s="47"/>
      <c r="CQ110" s="47"/>
      <c r="CR110" s="47"/>
      <c r="CS110" s="47"/>
      <c r="CT110" s="47"/>
      <c r="CU110" s="47"/>
      <c r="CV110" s="47"/>
      <c r="CW110" s="47"/>
      <c r="CX110" s="194"/>
      <c r="CY110" s="47"/>
      <c r="CZ110" s="47"/>
      <c r="DA110" s="47"/>
      <c r="DB110" s="47"/>
      <c r="DC110" s="47"/>
      <c r="DD110" s="47"/>
      <c r="DE110" s="47"/>
      <c r="DF110" s="47"/>
      <c r="DG110" s="47"/>
      <c r="DH110" s="47"/>
      <c r="DI110" s="47"/>
      <c r="DJ110" s="47"/>
      <c r="DK110" s="47"/>
      <c r="DL110" s="47"/>
      <c r="DM110" s="47"/>
      <c r="DN110" s="47"/>
      <c r="DO110" s="47"/>
      <c r="DP110" s="47"/>
      <c r="DQ110" s="47"/>
      <c r="DR110" s="47"/>
      <c r="DS110" s="47"/>
      <c r="DT110" s="47"/>
      <c r="DU110" s="47"/>
      <c r="DV110" s="47"/>
      <c r="DW110" s="198"/>
      <c r="DX110" s="47"/>
      <c r="DY110" s="194"/>
      <c r="DZ110" s="198"/>
      <c r="EA110" s="47"/>
      <c r="EB110" s="194"/>
      <c r="EC110" s="47"/>
      <c r="ED110" s="195"/>
      <c r="EE110" s="195"/>
      <c r="EF110" s="195"/>
      <c r="EG110" s="195"/>
      <c r="EH110" s="195"/>
      <c r="EI110" s="196"/>
      <c r="EJ110" s="201"/>
      <c r="EK110" s="202"/>
      <c r="FA110" s="251">
        <f t="shared" si="6"/>
        <v>1.67706</v>
      </c>
    </row>
    <row r="111" spans="1:157" s="89" customFormat="1" ht="20.149999999999999" customHeight="1" x14ac:dyDescent="0.35">
      <c r="A111" s="47"/>
      <c r="B111" s="1" t="s">
        <v>883</v>
      </c>
      <c r="C111" s="189" t="s">
        <v>1680</v>
      </c>
      <c r="D111" s="40"/>
      <c r="E111" s="40" t="s">
        <v>33</v>
      </c>
      <c r="F111" s="2" t="s">
        <v>569</v>
      </c>
      <c r="G111" s="40" t="s">
        <v>570</v>
      </c>
      <c r="H111" s="333">
        <f>78/20</f>
        <v>3.9</v>
      </c>
      <c r="I111" s="47"/>
      <c r="J111" s="47"/>
      <c r="K111" s="47"/>
      <c r="L111" s="47"/>
      <c r="M111" s="47">
        <v>6.5</v>
      </c>
      <c r="N111" s="194"/>
      <c r="O111" s="194"/>
      <c r="P111" s="194"/>
      <c r="Q111" s="194"/>
      <c r="R111" s="47"/>
      <c r="S111" s="194"/>
      <c r="T111" s="47"/>
      <c r="U111" s="194"/>
      <c r="V111" s="47"/>
      <c r="W111" s="194"/>
      <c r="X111" s="47"/>
      <c r="Y111" s="194"/>
      <c r="Z111" s="194"/>
      <c r="AA111" s="47"/>
      <c r="AB111" s="47"/>
      <c r="AC111" s="47"/>
      <c r="AD111" s="47">
        <v>6.5</v>
      </c>
      <c r="AE111" s="194"/>
      <c r="AF111" s="194"/>
      <c r="AG111" s="194"/>
      <c r="AI111" s="47"/>
      <c r="AJ111" s="198"/>
      <c r="AK111" s="47"/>
      <c r="AL111" s="47"/>
      <c r="AM111" s="47"/>
      <c r="AN111" s="47"/>
      <c r="AO111" s="47"/>
      <c r="AP111" s="194"/>
      <c r="AQ111" s="47">
        <v>6.5</v>
      </c>
      <c r="AR111" s="47"/>
      <c r="AS111" s="47"/>
      <c r="AT111" s="194"/>
      <c r="AU111" s="194"/>
      <c r="AV111" s="194"/>
      <c r="AW111" s="194"/>
      <c r="AX111" s="194"/>
      <c r="AY111" s="194"/>
      <c r="AZ111" s="194"/>
      <c r="BA111" s="194"/>
      <c r="BB111" s="194"/>
      <c r="BC111" s="194"/>
      <c r="BD111" s="194"/>
      <c r="BE111" s="194"/>
      <c r="BF111" s="194"/>
      <c r="BG111" s="194"/>
      <c r="BH111" s="194"/>
      <c r="BI111" s="194"/>
      <c r="BJ111" s="194"/>
      <c r="BK111" s="194"/>
      <c r="BL111" s="194"/>
      <c r="BM111" s="194"/>
      <c r="BN111" s="194"/>
      <c r="BO111" s="194"/>
      <c r="BP111" s="194"/>
      <c r="BQ111" s="47"/>
      <c r="BR111" s="194"/>
      <c r="BS111" s="47">
        <v>10</v>
      </c>
      <c r="BT111" s="47"/>
      <c r="BU111" s="47"/>
      <c r="BV111" s="47"/>
      <c r="BW111" s="47"/>
      <c r="BX111" s="194"/>
      <c r="BY111" s="194"/>
      <c r="BZ111" s="194"/>
      <c r="CA111" s="194"/>
      <c r="CB111" s="194"/>
      <c r="CC111" s="47"/>
      <c r="CD111" s="47"/>
      <c r="CE111" s="47"/>
      <c r="CF111" s="47"/>
      <c r="CG111" s="47"/>
      <c r="CH111" s="47"/>
      <c r="CI111" s="47">
        <v>7</v>
      </c>
      <c r="CJ111" s="47"/>
      <c r="CK111" s="47"/>
      <c r="CL111" s="194"/>
      <c r="CM111" s="47"/>
      <c r="CN111" s="47"/>
      <c r="CO111" s="47"/>
      <c r="CP111" s="47"/>
      <c r="CQ111" s="47"/>
      <c r="CR111" s="47"/>
      <c r="CS111" s="198"/>
      <c r="CT111" s="47"/>
      <c r="CU111" s="47"/>
      <c r="CV111" s="47">
        <v>7</v>
      </c>
      <c r="CW111" s="47"/>
      <c r="CX111" s="194"/>
      <c r="CY111" s="47"/>
      <c r="CZ111" s="47"/>
      <c r="DA111" s="47"/>
      <c r="DB111" s="47"/>
      <c r="DC111" s="47"/>
      <c r="DD111" s="47"/>
      <c r="DE111" s="47"/>
      <c r="DF111" s="47"/>
      <c r="DG111" s="47"/>
      <c r="DH111" s="47"/>
      <c r="DI111" s="47"/>
      <c r="DJ111" s="47"/>
      <c r="DK111" s="47"/>
      <c r="DL111" s="47"/>
      <c r="DM111" s="47"/>
      <c r="DN111" s="47"/>
      <c r="DO111" s="47"/>
      <c r="DP111" s="47"/>
      <c r="DQ111" s="47"/>
      <c r="DR111" s="47"/>
      <c r="DS111" s="47"/>
      <c r="DT111" s="47"/>
      <c r="DU111" s="47"/>
      <c r="DV111" s="47"/>
      <c r="DW111" s="198"/>
      <c r="DX111" s="47"/>
      <c r="DY111" s="194"/>
      <c r="DZ111" s="47"/>
      <c r="EA111" s="47"/>
      <c r="EB111" s="194"/>
      <c r="EC111" s="47"/>
      <c r="ED111" s="195"/>
      <c r="EE111" s="195"/>
      <c r="EF111" s="195"/>
      <c r="EG111" s="195"/>
      <c r="EH111" s="195">
        <v>6</v>
      </c>
      <c r="EI111" s="196">
        <f t="shared" si="2"/>
        <v>23.4</v>
      </c>
      <c r="EJ111" s="201">
        <f t="shared" si="3"/>
        <v>4.9530000000000003</v>
      </c>
      <c r="EK111" s="202">
        <v>6.5</v>
      </c>
      <c r="FA111" s="251">
        <f t="shared" si="6"/>
        <v>3.9</v>
      </c>
    </row>
    <row r="112" spans="1:157" s="89" customFormat="1" ht="20.149999999999999" customHeight="1" x14ac:dyDescent="0.35">
      <c r="A112" s="47"/>
      <c r="B112" s="1" t="s">
        <v>884</v>
      </c>
      <c r="C112" s="189" t="s">
        <v>1681</v>
      </c>
      <c r="D112" s="40"/>
      <c r="E112" s="2" t="s">
        <v>712</v>
      </c>
      <c r="F112" s="2" t="s">
        <v>1682</v>
      </c>
      <c r="G112" s="40"/>
      <c r="H112" s="333">
        <v>54</v>
      </c>
      <c r="I112" s="47"/>
      <c r="J112" s="47"/>
      <c r="K112" s="47"/>
      <c r="L112" s="47"/>
      <c r="M112" s="47"/>
      <c r="N112" s="194"/>
      <c r="O112" s="194"/>
      <c r="P112" s="194"/>
      <c r="Q112" s="194"/>
      <c r="R112" s="47"/>
      <c r="S112" s="194"/>
      <c r="T112" s="47"/>
      <c r="U112" s="194"/>
      <c r="V112" s="47"/>
      <c r="W112" s="194"/>
      <c r="X112" s="47"/>
      <c r="Y112" s="194"/>
      <c r="Z112" s="194"/>
      <c r="AA112" s="47"/>
      <c r="AB112" s="47"/>
      <c r="AC112" s="47"/>
      <c r="AD112" s="47"/>
      <c r="AE112" s="194"/>
      <c r="AF112" s="194"/>
      <c r="AG112" s="194"/>
      <c r="AI112" s="47"/>
      <c r="AJ112" s="198"/>
      <c r="AK112" s="47"/>
      <c r="AL112" s="47"/>
      <c r="AM112" s="47"/>
      <c r="AN112" s="47"/>
      <c r="AO112" s="47"/>
      <c r="AP112" s="194"/>
      <c r="AQ112" s="47"/>
      <c r="AR112" s="47"/>
      <c r="AS112" s="47"/>
      <c r="AT112" s="194"/>
      <c r="AU112" s="194"/>
      <c r="AV112" s="194"/>
      <c r="AW112" s="194"/>
      <c r="AX112" s="194"/>
      <c r="AY112" s="194"/>
      <c r="AZ112" s="194"/>
      <c r="BA112" s="194"/>
      <c r="BB112" s="194"/>
      <c r="BC112" s="194"/>
      <c r="BD112" s="194"/>
      <c r="BE112" s="194"/>
      <c r="BF112" s="194"/>
      <c r="BG112" s="194"/>
      <c r="BH112" s="194"/>
      <c r="BI112" s="194"/>
      <c r="BJ112" s="194"/>
      <c r="BK112" s="194"/>
      <c r="BL112" s="194"/>
      <c r="BM112" s="194"/>
      <c r="BN112" s="194"/>
      <c r="BO112" s="194">
        <v>65</v>
      </c>
      <c r="BP112" s="194"/>
      <c r="BQ112" s="47"/>
      <c r="BR112" s="194"/>
      <c r="BS112" s="47"/>
      <c r="BT112" s="47"/>
      <c r="BU112" s="47"/>
      <c r="BV112" s="47"/>
      <c r="BW112" s="47"/>
      <c r="BX112" s="194"/>
      <c r="BY112" s="194"/>
      <c r="BZ112" s="194"/>
      <c r="CA112" s="194"/>
      <c r="CB112" s="194"/>
      <c r="CC112" s="47"/>
      <c r="CD112" s="47"/>
      <c r="CE112" s="47"/>
      <c r="CF112" s="47"/>
      <c r="CG112" s="47"/>
      <c r="CH112" s="47"/>
      <c r="CI112" s="47"/>
      <c r="CJ112" s="47"/>
      <c r="CK112" s="47"/>
      <c r="CL112" s="194"/>
      <c r="CM112" s="47"/>
      <c r="CN112" s="47"/>
      <c r="CO112" s="47"/>
      <c r="CP112" s="47"/>
      <c r="CQ112" s="47"/>
      <c r="CR112" s="47"/>
      <c r="CS112" s="198"/>
      <c r="CT112" s="47"/>
      <c r="CU112" s="47"/>
      <c r="CV112" s="47"/>
      <c r="CW112" s="47"/>
      <c r="CX112" s="194"/>
      <c r="CY112" s="47"/>
      <c r="CZ112" s="47"/>
      <c r="DA112" s="47"/>
      <c r="DB112" s="47"/>
      <c r="DC112" s="47"/>
      <c r="DD112" s="47"/>
      <c r="DE112" s="47"/>
      <c r="DF112" s="47"/>
      <c r="DG112" s="47"/>
      <c r="DH112" s="47"/>
      <c r="DI112" s="47"/>
      <c r="DJ112" s="47"/>
      <c r="DK112" s="47"/>
      <c r="DL112" s="47"/>
      <c r="DM112" s="47"/>
      <c r="DN112" s="47"/>
      <c r="DO112" s="47"/>
      <c r="DP112" s="47"/>
      <c r="DQ112" s="47"/>
      <c r="DR112" s="47"/>
      <c r="DS112" s="47"/>
      <c r="DT112" s="47"/>
      <c r="DU112" s="47"/>
      <c r="DV112" s="47"/>
      <c r="DW112" s="198"/>
      <c r="DX112" s="47"/>
      <c r="DY112" s="194"/>
      <c r="DZ112" s="47"/>
      <c r="EA112" s="47"/>
      <c r="EB112" s="194"/>
      <c r="EC112" s="47"/>
      <c r="ED112" s="195"/>
      <c r="EE112" s="195"/>
      <c r="EF112" s="195"/>
      <c r="EG112" s="195"/>
      <c r="EH112" s="195"/>
      <c r="EI112" s="196">
        <f t="shared" si="2"/>
        <v>0</v>
      </c>
      <c r="EJ112" s="201">
        <f t="shared" si="3"/>
        <v>68.58</v>
      </c>
      <c r="EK112" s="202">
        <f>AVERAGE(I112:EC112)</f>
        <v>65</v>
      </c>
      <c r="FA112" s="251">
        <f t="shared" si="6"/>
        <v>54</v>
      </c>
    </row>
    <row r="113" spans="1:157" s="89" customFormat="1" ht="20.149999999999999" customHeight="1" x14ac:dyDescent="0.35">
      <c r="A113" s="47"/>
      <c r="B113" s="1" t="s">
        <v>885</v>
      </c>
      <c r="C113" s="189" t="s">
        <v>1681</v>
      </c>
      <c r="D113" s="40"/>
      <c r="E113" s="2" t="s">
        <v>712</v>
      </c>
      <c r="F113" s="2" t="s">
        <v>1159</v>
      </c>
      <c r="G113" s="40"/>
      <c r="H113" s="333">
        <v>4.5</v>
      </c>
      <c r="I113" s="47"/>
      <c r="J113" s="47"/>
      <c r="K113" s="47"/>
      <c r="L113" s="47"/>
      <c r="M113" s="47"/>
      <c r="N113" s="194"/>
      <c r="O113" s="194"/>
      <c r="P113" s="194"/>
      <c r="Q113" s="194"/>
      <c r="R113" s="47"/>
      <c r="S113" s="194"/>
      <c r="T113" s="47"/>
      <c r="U113" s="194"/>
      <c r="V113" s="47"/>
      <c r="W113" s="194"/>
      <c r="X113" s="47"/>
      <c r="Y113" s="194"/>
      <c r="Z113" s="194"/>
      <c r="AA113" s="47"/>
      <c r="AB113" s="47"/>
      <c r="AC113" s="47"/>
      <c r="AD113" s="47"/>
      <c r="AE113" s="194"/>
      <c r="AF113" s="194"/>
      <c r="AG113" s="194"/>
      <c r="AI113" s="47"/>
      <c r="AJ113" s="198"/>
      <c r="AK113" s="47"/>
      <c r="AL113" s="47"/>
      <c r="AM113" s="47"/>
      <c r="AN113" s="47"/>
      <c r="AO113" s="47"/>
      <c r="AP113" s="194"/>
      <c r="AQ113" s="47"/>
      <c r="AR113" s="47"/>
      <c r="AS113" s="47"/>
      <c r="AT113" s="194"/>
      <c r="AU113" s="194"/>
      <c r="AV113" s="194"/>
      <c r="AW113" s="194"/>
      <c r="AX113" s="194"/>
      <c r="AY113" s="194"/>
      <c r="AZ113" s="194"/>
      <c r="BA113" s="194"/>
      <c r="BB113" s="194"/>
      <c r="BC113" s="194"/>
      <c r="BD113" s="194"/>
      <c r="BE113" s="194"/>
      <c r="BF113" s="194"/>
      <c r="BG113" s="194"/>
      <c r="BH113" s="194"/>
      <c r="BI113" s="194"/>
      <c r="BJ113" s="194"/>
      <c r="BK113" s="194"/>
      <c r="BL113" s="194"/>
      <c r="BM113" s="194"/>
      <c r="BN113" s="194"/>
      <c r="BO113" s="194">
        <v>6</v>
      </c>
      <c r="BP113" s="194"/>
      <c r="BQ113" s="47"/>
      <c r="BR113" s="194"/>
      <c r="BS113" s="47"/>
      <c r="BT113" s="47"/>
      <c r="BU113" s="47"/>
      <c r="BV113" s="47"/>
      <c r="BW113" s="47"/>
      <c r="BX113" s="194"/>
      <c r="BY113" s="194"/>
      <c r="BZ113" s="194"/>
      <c r="CA113" s="194"/>
      <c r="CB113" s="194"/>
      <c r="CC113" s="47"/>
      <c r="CD113" s="47"/>
      <c r="CE113" s="47"/>
      <c r="CF113" s="47"/>
      <c r="CG113" s="47"/>
      <c r="CH113" s="47"/>
      <c r="CI113" s="47"/>
      <c r="CJ113" s="47"/>
      <c r="CK113" s="47"/>
      <c r="CL113" s="194"/>
      <c r="CM113" s="47"/>
      <c r="CN113" s="47"/>
      <c r="CO113" s="47"/>
      <c r="CP113" s="47"/>
      <c r="CQ113" s="47"/>
      <c r="CR113" s="47"/>
      <c r="CS113" s="198"/>
      <c r="CT113" s="47"/>
      <c r="CU113" s="47"/>
      <c r="CV113" s="47">
        <v>5.2</v>
      </c>
      <c r="CW113" s="47"/>
      <c r="CX113" s="194"/>
      <c r="CY113" s="47"/>
      <c r="CZ113" s="47"/>
      <c r="DA113" s="47"/>
      <c r="DB113" s="47"/>
      <c r="DC113" s="47"/>
      <c r="DD113" s="47"/>
      <c r="DE113" s="47"/>
      <c r="DF113" s="47"/>
      <c r="DG113" s="47"/>
      <c r="DH113" s="47"/>
      <c r="DI113" s="47"/>
      <c r="DJ113" s="47"/>
      <c r="DK113" s="47"/>
      <c r="DL113" s="47"/>
      <c r="DM113" s="47"/>
      <c r="DN113" s="47"/>
      <c r="DO113" s="47"/>
      <c r="DP113" s="47"/>
      <c r="DQ113" s="47"/>
      <c r="DR113" s="47"/>
      <c r="DS113" s="47"/>
      <c r="DT113" s="47"/>
      <c r="DU113" s="47">
        <v>4.5999999999999996</v>
      </c>
      <c r="DV113" s="47"/>
      <c r="DW113" s="198"/>
      <c r="DX113" s="47"/>
      <c r="DY113" s="194"/>
      <c r="DZ113" s="47"/>
      <c r="EA113" s="47"/>
      <c r="EB113" s="194"/>
      <c r="EC113" s="47"/>
      <c r="ED113" s="195"/>
      <c r="EE113" s="195"/>
      <c r="EF113" s="195"/>
      <c r="EG113" s="195"/>
      <c r="EH113" s="195"/>
      <c r="EI113" s="196">
        <f t="shared" si="2"/>
        <v>0</v>
      </c>
      <c r="EJ113" s="201">
        <f t="shared" si="3"/>
        <v>5.7149999999999999</v>
      </c>
      <c r="EK113" s="202">
        <f>AVERAGE(I113:EC113)</f>
        <v>5.2666666666666666</v>
      </c>
      <c r="FA113" s="251">
        <f t="shared" si="6"/>
        <v>4.5</v>
      </c>
    </row>
    <row r="114" spans="1:157" s="1" customFormat="1" ht="20.149999999999999" customHeight="1" x14ac:dyDescent="0.35">
      <c r="A114" s="2"/>
      <c r="B114" s="189" t="s">
        <v>886</v>
      </c>
      <c r="C114" s="47" t="s">
        <v>1414</v>
      </c>
      <c r="D114" s="2" t="s">
        <v>637</v>
      </c>
      <c r="E114" s="2" t="s">
        <v>33</v>
      </c>
      <c r="F114" s="48" t="s">
        <v>588</v>
      </c>
      <c r="G114" s="48" t="s">
        <v>37</v>
      </c>
      <c r="H114" s="336">
        <v>62</v>
      </c>
      <c r="I114" s="47"/>
      <c r="J114" s="47"/>
      <c r="K114" s="47"/>
      <c r="L114" s="47"/>
      <c r="M114" s="47"/>
      <c r="N114" s="194"/>
      <c r="O114" s="194"/>
      <c r="P114" s="194"/>
      <c r="Q114" s="194"/>
      <c r="R114" s="47"/>
      <c r="S114" s="194"/>
      <c r="T114" s="47"/>
      <c r="U114" s="194"/>
      <c r="V114" s="47"/>
      <c r="W114" s="194"/>
      <c r="X114" s="47"/>
      <c r="Y114" s="194"/>
      <c r="Z114" s="194"/>
      <c r="AA114" s="47"/>
      <c r="AB114" s="47"/>
      <c r="AC114" s="47"/>
      <c r="AD114" s="47"/>
      <c r="AE114" s="194"/>
      <c r="AF114" s="194"/>
      <c r="AG114" s="194"/>
      <c r="AI114" s="47"/>
      <c r="AJ114" s="223"/>
      <c r="AK114" s="47"/>
      <c r="AL114" s="47"/>
      <c r="AM114" s="47"/>
      <c r="AN114" s="47"/>
      <c r="AO114" s="47"/>
      <c r="AP114" s="194"/>
      <c r="AQ114" s="47"/>
      <c r="AR114" s="47"/>
      <c r="AS114" s="47"/>
      <c r="AT114" s="194"/>
      <c r="AU114" s="194"/>
      <c r="AV114" s="194"/>
      <c r="AW114" s="194"/>
      <c r="AX114" s="194"/>
      <c r="AY114" s="194"/>
      <c r="AZ114" s="194"/>
      <c r="BA114" s="194"/>
      <c r="BB114" s="194"/>
      <c r="BC114" s="194"/>
      <c r="BD114" s="194"/>
      <c r="BE114" s="194"/>
      <c r="BF114" s="194"/>
      <c r="BG114" s="194"/>
      <c r="BH114" s="194"/>
      <c r="BI114" s="194"/>
      <c r="BJ114" s="194"/>
      <c r="BK114" s="194"/>
      <c r="BL114" s="194"/>
      <c r="BM114" s="194"/>
      <c r="BN114" s="194"/>
      <c r="BO114" s="194"/>
      <c r="BP114" s="194"/>
      <c r="BQ114" s="47"/>
      <c r="BR114" s="194"/>
      <c r="BS114" s="47"/>
      <c r="BT114" s="47"/>
      <c r="BU114" s="47"/>
      <c r="BV114" s="47"/>
      <c r="BW114" s="47"/>
      <c r="BX114" s="194"/>
      <c r="BY114" s="194"/>
      <c r="BZ114" s="194"/>
      <c r="CA114" s="194"/>
      <c r="CB114" s="194"/>
      <c r="CC114" s="47"/>
      <c r="CD114" s="47"/>
      <c r="CE114" s="47"/>
      <c r="CF114" s="47"/>
      <c r="CG114" s="47"/>
      <c r="CH114" s="47"/>
      <c r="CI114" s="47"/>
      <c r="CJ114" s="47"/>
      <c r="CK114" s="224"/>
      <c r="CL114" s="194"/>
      <c r="CM114" s="47"/>
      <c r="CN114" s="47"/>
      <c r="CO114" s="47"/>
      <c r="CP114" s="47"/>
      <c r="CQ114" s="47"/>
      <c r="CR114" s="47"/>
      <c r="CS114" s="47"/>
      <c r="CT114" s="47"/>
      <c r="CU114" s="47"/>
      <c r="CV114" s="47"/>
      <c r="CW114" s="47"/>
      <c r="CX114" s="194"/>
      <c r="CY114" s="47"/>
      <c r="CZ114" s="47"/>
      <c r="DA114" s="47"/>
      <c r="DB114" s="47"/>
      <c r="DC114" s="47"/>
      <c r="DD114" s="47"/>
      <c r="DE114" s="47"/>
      <c r="DF114" s="47"/>
      <c r="DG114" s="47"/>
      <c r="DH114" s="47"/>
      <c r="DI114" s="47"/>
      <c r="DJ114" s="47"/>
      <c r="DK114" s="47"/>
      <c r="DL114" s="47"/>
      <c r="DM114" s="47"/>
      <c r="DN114" s="47"/>
      <c r="DO114" s="47"/>
      <c r="DP114" s="47"/>
      <c r="DQ114" s="47"/>
      <c r="DR114" s="47"/>
      <c r="DS114" s="47"/>
      <c r="DT114" s="47"/>
      <c r="DU114" s="47"/>
      <c r="DV114" s="47"/>
      <c r="DW114" s="198"/>
      <c r="DX114" s="47"/>
      <c r="DY114" s="194"/>
      <c r="DZ114" s="47"/>
      <c r="EA114" s="47"/>
      <c r="EB114" s="194"/>
      <c r="EC114" s="47"/>
      <c r="ED114" s="195"/>
      <c r="EE114" s="195"/>
      <c r="EF114" s="195"/>
      <c r="EG114" s="195"/>
      <c r="EH114" s="195"/>
      <c r="EI114" s="196">
        <f t="shared" ref="EI114:EI194" si="8">H114*EH114</f>
        <v>0</v>
      </c>
      <c r="EJ114" s="201">
        <f t="shared" ref="EJ114:EJ194" si="9">H114*1.27</f>
        <v>78.739999999999995</v>
      </c>
      <c r="EK114" s="202">
        <v>0</v>
      </c>
      <c r="FA114" s="251">
        <f t="shared" si="6"/>
        <v>62</v>
      </c>
    </row>
    <row r="115" spans="1:157" s="1" customFormat="1" ht="20.149999999999999" customHeight="1" x14ac:dyDescent="0.35">
      <c r="A115" s="47"/>
      <c r="B115" s="189" t="s">
        <v>887</v>
      </c>
      <c r="C115" s="47" t="s">
        <v>1414</v>
      </c>
      <c r="D115" s="2" t="s">
        <v>637</v>
      </c>
      <c r="E115" s="2" t="s">
        <v>800</v>
      </c>
      <c r="F115" s="48" t="s">
        <v>301</v>
      </c>
      <c r="G115" s="48" t="s">
        <v>37</v>
      </c>
      <c r="H115" s="328">
        <f>H114/25*3</f>
        <v>7.4399999999999995</v>
      </c>
      <c r="I115" s="47"/>
      <c r="J115" s="47"/>
      <c r="K115" s="47"/>
      <c r="L115" s="47"/>
      <c r="M115" s="47"/>
      <c r="N115" s="194"/>
      <c r="O115" s="194"/>
      <c r="P115" s="194"/>
      <c r="Q115" s="194"/>
      <c r="R115" s="47"/>
      <c r="S115" s="194"/>
      <c r="T115" s="47"/>
      <c r="U115" s="194"/>
      <c r="V115" s="47"/>
      <c r="W115" s="194"/>
      <c r="X115" s="47"/>
      <c r="Y115" s="194"/>
      <c r="Z115" s="194"/>
      <c r="AA115" s="47"/>
      <c r="AB115" s="47">
        <v>11</v>
      </c>
      <c r="AC115" s="47"/>
      <c r="AD115" s="47"/>
      <c r="AE115" s="194"/>
      <c r="AF115" s="194"/>
      <c r="AG115" s="194"/>
      <c r="AI115" s="47"/>
      <c r="AJ115" s="223"/>
      <c r="AK115" s="47"/>
      <c r="AL115" s="47"/>
      <c r="AM115" s="47"/>
      <c r="AN115" s="47"/>
      <c r="AO115" s="47"/>
      <c r="AP115" s="194"/>
      <c r="AQ115" s="47"/>
      <c r="AR115" s="47"/>
      <c r="AS115" s="47"/>
      <c r="AT115" s="194">
        <v>11</v>
      </c>
      <c r="AU115" s="194"/>
      <c r="AV115" s="194"/>
      <c r="AW115" s="194"/>
      <c r="AX115" s="194"/>
      <c r="AY115" s="194">
        <v>11</v>
      </c>
      <c r="AZ115" s="194"/>
      <c r="BA115" s="194"/>
      <c r="BB115" s="194"/>
      <c r="BC115" s="194"/>
      <c r="BD115" s="194"/>
      <c r="BE115" s="194"/>
      <c r="BF115" s="194"/>
      <c r="BG115" s="194"/>
      <c r="BH115" s="194"/>
      <c r="BI115" s="194"/>
      <c r="BJ115" s="194"/>
      <c r="BK115" s="194"/>
      <c r="BL115" s="194">
        <v>12</v>
      </c>
      <c r="BM115" s="194">
        <v>11</v>
      </c>
      <c r="BN115" s="194"/>
      <c r="BO115" s="194"/>
      <c r="BP115" s="194"/>
      <c r="BQ115" s="47"/>
      <c r="BR115" s="194"/>
      <c r="BS115" s="47">
        <v>11</v>
      </c>
      <c r="BT115" s="47">
        <v>11</v>
      </c>
      <c r="BU115" s="47"/>
      <c r="BV115" s="47"/>
      <c r="BW115" s="47"/>
      <c r="BX115" s="194"/>
      <c r="BY115" s="194"/>
      <c r="BZ115" s="194"/>
      <c r="CA115" s="194"/>
      <c r="CB115" s="194"/>
      <c r="CC115" s="47"/>
      <c r="CD115" s="47"/>
      <c r="CE115" s="47"/>
      <c r="CF115" s="47"/>
      <c r="CG115" s="47"/>
      <c r="CH115" s="47"/>
      <c r="CI115" s="47"/>
      <c r="CJ115" s="47"/>
      <c r="CK115" s="224"/>
      <c r="CL115" s="194">
        <v>11</v>
      </c>
      <c r="CM115" s="47"/>
      <c r="CN115" s="47"/>
      <c r="CO115" s="47"/>
      <c r="CP115" s="47"/>
      <c r="CQ115" s="47"/>
      <c r="CR115" s="47"/>
      <c r="CS115" s="47">
        <v>11</v>
      </c>
      <c r="CT115" s="47"/>
      <c r="CU115" s="47"/>
      <c r="CV115" s="47">
        <v>11</v>
      </c>
      <c r="CW115" s="47"/>
      <c r="CX115" s="194"/>
      <c r="CY115" s="47"/>
      <c r="CZ115" s="47">
        <v>11</v>
      </c>
      <c r="DA115" s="47"/>
      <c r="DB115" s="47"/>
      <c r="DC115" s="47"/>
      <c r="DD115" s="47"/>
      <c r="DE115" s="47"/>
      <c r="DF115" s="47"/>
      <c r="DG115" s="47"/>
      <c r="DH115" s="47"/>
      <c r="DI115" s="47"/>
      <c r="DJ115" s="47">
        <v>11</v>
      </c>
      <c r="DK115" s="47"/>
      <c r="DL115" s="47"/>
      <c r="DM115" s="47"/>
      <c r="DN115" s="47"/>
      <c r="DO115" s="47"/>
      <c r="DP115" s="47"/>
      <c r="DQ115" s="47"/>
      <c r="DR115" s="47"/>
      <c r="DS115" s="47"/>
      <c r="DT115" s="47"/>
      <c r="DU115" s="47"/>
      <c r="DV115" s="47"/>
      <c r="DW115" s="198"/>
      <c r="DX115" s="47"/>
      <c r="DY115" s="194"/>
      <c r="DZ115" s="47"/>
      <c r="EA115" s="47"/>
      <c r="EB115" s="194"/>
      <c r="EC115" s="47"/>
      <c r="ED115" s="195"/>
      <c r="EE115" s="195"/>
      <c r="EF115" s="195"/>
      <c r="EG115" s="195"/>
      <c r="EH115" s="195">
        <v>12</v>
      </c>
      <c r="EI115" s="196">
        <f t="shared" si="8"/>
        <v>89.28</v>
      </c>
      <c r="EJ115" s="201">
        <f t="shared" si="9"/>
        <v>9.4488000000000003</v>
      </c>
      <c r="EK115" s="202">
        <f t="shared" ref="EK115:EK193" si="10">AVERAGE(I115:EC115)</f>
        <v>11.083333333333334</v>
      </c>
      <c r="FA115" s="251">
        <f t="shared" si="6"/>
        <v>7.4399999999999995</v>
      </c>
    </row>
    <row r="116" spans="1:157" s="1" customFormat="1" ht="20.149999999999999" customHeight="1" x14ac:dyDescent="0.35">
      <c r="A116" s="2"/>
      <c r="B116" s="189" t="s">
        <v>888</v>
      </c>
      <c r="C116" s="47" t="s">
        <v>1414</v>
      </c>
      <c r="D116" s="2" t="s">
        <v>637</v>
      </c>
      <c r="E116" s="2" t="s">
        <v>800</v>
      </c>
      <c r="F116" s="48" t="s">
        <v>560</v>
      </c>
      <c r="G116" s="48" t="s">
        <v>37</v>
      </c>
      <c r="H116" s="328">
        <f>H114/25/1000*500*20</f>
        <v>24.8</v>
      </c>
      <c r="I116" s="47"/>
      <c r="J116" s="47"/>
      <c r="K116" s="47"/>
      <c r="L116" s="47"/>
      <c r="M116" s="47"/>
      <c r="N116" s="194"/>
      <c r="O116" s="194"/>
      <c r="P116" s="194"/>
      <c r="Q116" s="194">
        <v>32</v>
      </c>
      <c r="R116" s="47"/>
      <c r="S116" s="194"/>
      <c r="T116" s="47"/>
      <c r="U116" s="194"/>
      <c r="V116" s="47"/>
      <c r="W116" s="194"/>
      <c r="X116" s="47"/>
      <c r="Y116" s="194"/>
      <c r="Z116" s="194"/>
      <c r="AA116" s="47"/>
      <c r="AB116" s="47"/>
      <c r="AC116" s="47"/>
      <c r="AD116" s="47"/>
      <c r="AE116" s="194"/>
      <c r="AF116" s="194"/>
      <c r="AG116" s="194"/>
      <c r="AI116" s="47"/>
      <c r="AJ116" s="223"/>
      <c r="AK116" s="47"/>
      <c r="AL116" s="47"/>
      <c r="AM116" s="47"/>
      <c r="AN116" s="47"/>
      <c r="AO116" s="47"/>
      <c r="AP116" s="194"/>
      <c r="AQ116" s="47"/>
      <c r="AR116" s="47"/>
      <c r="AS116" s="47"/>
      <c r="AT116" s="194"/>
      <c r="AU116" s="194"/>
      <c r="AV116" s="194"/>
      <c r="AW116" s="194"/>
      <c r="AX116" s="194"/>
      <c r="AY116" s="194"/>
      <c r="AZ116" s="194"/>
      <c r="BA116" s="194"/>
      <c r="BB116" s="194"/>
      <c r="BC116" s="194"/>
      <c r="BD116" s="194"/>
      <c r="BE116" s="194"/>
      <c r="BF116" s="194"/>
      <c r="BG116" s="194"/>
      <c r="BH116" s="194"/>
      <c r="BI116" s="194"/>
      <c r="BJ116" s="194"/>
      <c r="BK116" s="194"/>
      <c r="BL116" s="194"/>
      <c r="BM116" s="194"/>
      <c r="BN116" s="194"/>
      <c r="BO116" s="194"/>
      <c r="BP116" s="194"/>
      <c r="BQ116" s="47"/>
      <c r="BR116" s="194"/>
      <c r="BS116" s="47">
        <v>32</v>
      </c>
      <c r="BT116" s="47"/>
      <c r="BU116" s="47"/>
      <c r="BV116" s="47"/>
      <c r="BW116" s="47"/>
      <c r="BX116" s="194"/>
      <c r="BY116" s="194"/>
      <c r="BZ116" s="194"/>
      <c r="CA116" s="194"/>
      <c r="CB116" s="194"/>
      <c r="CC116" s="47"/>
      <c r="CD116" s="47"/>
      <c r="CE116" s="47"/>
      <c r="CF116" s="47"/>
      <c r="CG116" s="47"/>
      <c r="CH116" s="47"/>
      <c r="CI116" s="47"/>
      <c r="CJ116" s="47"/>
      <c r="CK116" s="224"/>
      <c r="CL116" s="194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194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198"/>
      <c r="DX116" s="47"/>
      <c r="DY116" s="194"/>
      <c r="DZ116" s="47"/>
      <c r="EA116" s="47"/>
      <c r="EB116" s="194"/>
      <c r="EC116" s="47"/>
      <c r="ED116" s="195"/>
      <c r="EE116" s="195"/>
      <c r="EF116" s="195"/>
      <c r="EG116" s="195"/>
      <c r="EH116" s="195">
        <v>8</v>
      </c>
      <c r="EI116" s="196">
        <f t="shared" si="8"/>
        <v>198.4</v>
      </c>
      <c r="EJ116" s="201">
        <f t="shared" si="9"/>
        <v>31.496000000000002</v>
      </c>
      <c r="EK116" s="202">
        <v>30</v>
      </c>
      <c r="FA116" s="251">
        <f t="shared" si="6"/>
        <v>24.8</v>
      </c>
    </row>
    <row r="117" spans="1:157" s="1" customFormat="1" ht="20.149999999999999" customHeight="1" x14ac:dyDescent="0.35">
      <c r="A117" s="47"/>
      <c r="B117" s="189" t="s">
        <v>889</v>
      </c>
      <c r="C117" s="47" t="s">
        <v>1414</v>
      </c>
      <c r="D117" s="2" t="s">
        <v>637</v>
      </c>
      <c r="E117" s="2" t="s">
        <v>800</v>
      </c>
      <c r="F117" s="48" t="s">
        <v>736</v>
      </c>
      <c r="G117" s="48" t="s">
        <v>37</v>
      </c>
      <c r="H117" s="328">
        <f>H114/25*4</f>
        <v>9.92</v>
      </c>
      <c r="I117" s="47"/>
      <c r="J117" s="47"/>
      <c r="K117" s="47"/>
      <c r="L117" s="47"/>
      <c r="M117" s="47"/>
      <c r="N117" s="194"/>
      <c r="O117" s="194"/>
      <c r="P117" s="194"/>
      <c r="Q117" s="194"/>
      <c r="R117" s="47"/>
      <c r="S117" s="194"/>
      <c r="T117" s="47"/>
      <c r="U117" s="194"/>
      <c r="V117" s="47"/>
      <c r="W117" s="194"/>
      <c r="X117" s="47"/>
      <c r="Y117" s="194"/>
      <c r="Z117" s="194"/>
      <c r="AA117" s="47"/>
      <c r="AB117" s="47"/>
      <c r="AC117" s="47"/>
      <c r="AD117" s="47"/>
      <c r="AE117" s="194"/>
      <c r="AF117" s="194"/>
      <c r="AG117" s="194"/>
      <c r="AI117" s="47"/>
      <c r="AJ117" s="223"/>
      <c r="AK117" s="47"/>
      <c r="AL117" s="47"/>
      <c r="AM117" s="47"/>
      <c r="AN117" s="47"/>
      <c r="AO117" s="47"/>
      <c r="AP117" s="194"/>
      <c r="AQ117" s="47"/>
      <c r="AR117" s="47"/>
      <c r="AS117" s="47"/>
      <c r="AT117" s="194"/>
      <c r="AU117" s="194"/>
      <c r="AV117" s="194"/>
      <c r="AW117" s="194"/>
      <c r="AX117" s="194"/>
      <c r="AY117" s="194"/>
      <c r="AZ117" s="194"/>
      <c r="BA117" s="194"/>
      <c r="BB117" s="194"/>
      <c r="BC117" s="194"/>
      <c r="BD117" s="194"/>
      <c r="BE117" s="194"/>
      <c r="BF117" s="194"/>
      <c r="BG117" s="194"/>
      <c r="BH117" s="194"/>
      <c r="BI117" s="194"/>
      <c r="BJ117" s="194"/>
      <c r="BK117" s="194"/>
      <c r="BL117" s="194"/>
      <c r="BM117" s="194"/>
      <c r="BN117" s="194"/>
      <c r="BO117" s="194"/>
      <c r="BP117" s="194"/>
      <c r="BQ117" s="47"/>
      <c r="BR117" s="194"/>
      <c r="BS117" s="47"/>
      <c r="BT117" s="47"/>
      <c r="BU117" s="47"/>
      <c r="BV117" s="47"/>
      <c r="BW117" s="47"/>
      <c r="BX117" s="194"/>
      <c r="BY117" s="194"/>
      <c r="BZ117" s="194"/>
      <c r="CA117" s="194"/>
      <c r="CB117" s="194"/>
      <c r="CC117" s="47"/>
      <c r="CD117" s="47"/>
      <c r="CE117" s="47"/>
      <c r="CF117" s="47"/>
      <c r="CG117" s="47"/>
      <c r="CH117" s="47"/>
      <c r="CI117" s="47"/>
      <c r="CJ117" s="47"/>
      <c r="CK117" s="224"/>
      <c r="CL117" s="194"/>
      <c r="CM117" s="47"/>
      <c r="CN117" s="47"/>
      <c r="CO117" s="47"/>
      <c r="CP117" s="47"/>
      <c r="CQ117" s="47"/>
      <c r="CR117" s="47"/>
      <c r="CS117" s="47"/>
      <c r="CT117" s="47"/>
      <c r="CU117" s="47"/>
      <c r="CV117" s="47"/>
      <c r="CW117" s="47"/>
      <c r="CX117" s="194"/>
      <c r="CY117" s="47"/>
      <c r="CZ117" s="47"/>
      <c r="DA117" s="47"/>
      <c r="DB117" s="47"/>
      <c r="DC117" s="47"/>
      <c r="DD117" s="47"/>
      <c r="DE117" s="47"/>
      <c r="DF117" s="47"/>
      <c r="DG117" s="47"/>
      <c r="DH117" s="47"/>
      <c r="DI117" s="47"/>
      <c r="DJ117" s="47"/>
      <c r="DK117" s="47"/>
      <c r="DL117" s="47"/>
      <c r="DM117" s="47"/>
      <c r="DN117" s="47"/>
      <c r="DO117" s="47"/>
      <c r="DP117" s="47"/>
      <c r="DQ117" s="47"/>
      <c r="DR117" s="47"/>
      <c r="DS117" s="47"/>
      <c r="DT117" s="47"/>
      <c r="DU117" s="47"/>
      <c r="DV117" s="47"/>
      <c r="DW117" s="198"/>
      <c r="DX117" s="47"/>
      <c r="DY117" s="194"/>
      <c r="DZ117" s="47"/>
      <c r="EA117" s="47"/>
      <c r="EB117" s="194"/>
      <c r="EC117" s="47"/>
      <c r="ED117" s="195"/>
      <c r="EE117" s="195"/>
      <c r="EF117" s="195"/>
      <c r="EG117" s="195"/>
      <c r="EH117" s="195"/>
      <c r="EI117" s="196">
        <f t="shared" si="8"/>
        <v>0</v>
      </c>
      <c r="EJ117" s="201">
        <f t="shared" si="9"/>
        <v>12.5984</v>
      </c>
      <c r="EK117" s="202" t="e">
        <f t="shared" si="10"/>
        <v>#DIV/0!</v>
      </c>
      <c r="FA117" s="251">
        <f t="shared" si="6"/>
        <v>9.92</v>
      </c>
    </row>
    <row r="118" spans="1:157" s="1" customFormat="1" ht="20.149999999999999" customHeight="1" x14ac:dyDescent="0.35">
      <c r="A118" s="47"/>
      <c r="B118" s="189" t="s">
        <v>1196</v>
      </c>
      <c r="C118" s="47" t="s">
        <v>1414</v>
      </c>
      <c r="D118" s="2" t="s">
        <v>637</v>
      </c>
      <c r="E118" s="2" t="s">
        <v>800</v>
      </c>
      <c r="F118" s="48" t="s">
        <v>31</v>
      </c>
      <c r="G118" s="48" t="s">
        <v>37</v>
      </c>
      <c r="H118" s="328">
        <f>H114/25</f>
        <v>2.48</v>
      </c>
      <c r="I118" s="47"/>
      <c r="J118" s="47"/>
      <c r="K118" s="47"/>
      <c r="L118" s="47"/>
      <c r="M118" s="47"/>
      <c r="N118" s="194"/>
      <c r="O118" s="194"/>
      <c r="P118" s="194"/>
      <c r="Q118" s="194"/>
      <c r="R118" s="47"/>
      <c r="S118" s="194"/>
      <c r="T118" s="47"/>
      <c r="U118" s="194"/>
      <c r="V118" s="47"/>
      <c r="W118" s="194"/>
      <c r="X118" s="47"/>
      <c r="Y118" s="194"/>
      <c r="Z118" s="194"/>
      <c r="AA118" s="47"/>
      <c r="AB118" s="47"/>
      <c r="AC118" s="47"/>
      <c r="AD118" s="47"/>
      <c r="AE118" s="194"/>
      <c r="AF118" s="194"/>
      <c r="AG118" s="194"/>
      <c r="AI118" s="47"/>
      <c r="AJ118" s="223"/>
      <c r="AK118" s="47"/>
      <c r="AL118" s="47"/>
      <c r="AM118" s="47"/>
      <c r="AN118" s="47"/>
      <c r="AO118" s="47"/>
      <c r="AP118" s="194"/>
      <c r="AQ118" s="47"/>
      <c r="AR118" s="47"/>
      <c r="AS118" s="47"/>
      <c r="AT118" s="194"/>
      <c r="AU118" s="194"/>
      <c r="AV118" s="194"/>
      <c r="AW118" s="194"/>
      <c r="AX118" s="194"/>
      <c r="AY118" s="194"/>
      <c r="AZ118" s="194"/>
      <c r="BA118" s="194"/>
      <c r="BB118" s="194"/>
      <c r="BC118" s="194"/>
      <c r="BD118" s="194"/>
      <c r="BE118" s="194"/>
      <c r="BF118" s="194"/>
      <c r="BG118" s="194"/>
      <c r="BH118" s="194"/>
      <c r="BI118" s="194"/>
      <c r="BJ118" s="194"/>
      <c r="BK118" s="194"/>
      <c r="BL118" s="194"/>
      <c r="BM118" s="194"/>
      <c r="BN118" s="194"/>
      <c r="BO118" s="194"/>
      <c r="BP118" s="194"/>
      <c r="BQ118" s="47"/>
      <c r="BR118" s="194"/>
      <c r="BS118" s="47"/>
      <c r="BT118" s="47"/>
      <c r="BU118" s="47"/>
      <c r="BV118" s="47"/>
      <c r="BW118" s="47"/>
      <c r="BX118" s="194"/>
      <c r="BY118" s="194"/>
      <c r="BZ118" s="194"/>
      <c r="CA118" s="194"/>
      <c r="CB118" s="194"/>
      <c r="CC118" s="47"/>
      <c r="CD118" s="47"/>
      <c r="CE118" s="47"/>
      <c r="CF118" s="47"/>
      <c r="CG118" s="47"/>
      <c r="CH118" s="47"/>
      <c r="CI118" s="47"/>
      <c r="CJ118" s="47"/>
      <c r="CK118" s="224"/>
      <c r="CL118" s="194"/>
      <c r="CM118" s="47"/>
      <c r="CN118" s="47"/>
      <c r="CO118" s="47"/>
      <c r="CP118" s="47"/>
      <c r="CQ118" s="47"/>
      <c r="CR118" s="47"/>
      <c r="CS118" s="47"/>
      <c r="CT118" s="47"/>
      <c r="CU118" s="47"/>
      <c r="CV118" s="47"/>
      <c r="CW118" s="47"/>
      <c r="CX118" s="194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>
        <v>2.7</v>
      </c>
      <c r="DV118" s="47"/>
      <c r="DW118" s="198"/>
      <c r="DX118" s="47"/>
      <c r="DY118" s="194"/>
      <c r="DZ118" s="47"/>
      <c r="EA118" s="47"/>
      <c r="EB118" s="194"/>
      <c r="EC118" s="47"/>
      <c r="ED118" s="195"/>
      <c r="EE118" s="195"/>
      <c r="EF118" s="195"/>
      <c r="EG118" s="195"/>
      <c r="EH118" s="195"/>
      <c r="EI118" s="196"/>
      <c r="EJ118" s="201"/>
      <c r="EK118" s="202"/>
      <c r="FA118" s="251">
        <f t="shared" si="6"/>
        <v>2.48</v>
      </c>
    </row>
    <row r="119" spans="1:157" s="1" customFormat="1" ht="20.149999999999999" customHeight="1" x14ac:dyDescent="0.35">
      <c r="A119" s="2" t="s">
        <v>1314</v>
      </c>
      <c r="B119" s="189" t="s">
        <v>890</v>
      </c>
      <c r="C119" s="47" t="s">
        <v>1414</v>
      </c>
      <c r="D119" s="2" t="s">
        <v>770</v>
      </c>
      <c r="E119" s="2" t="s">
        <v>799</v>
      </c>
      <c r="F119" s="48" t="s">
        <v>801</v>
      </c>
      <c r="G119" s="48" t="s">
        <v>32</v>
      </c>
      <c r="H119" s="223">
        <f>26*1.07+30*0.01</f>
        <v>28.12</v>
      </c>
      <c r="I119" s="47"/>
      <c r="J119" s="47"/>
      <c r="K119" s="47"/>
      <c r="L119" s="47"/>
      <c r="M119" s="47"/>
      <c r="N119" s="194"/>
      <c r="O119" s="194"/>
      <c r="P119" s="194"/>
      <c r="Q119" s="194"/>
      <c r="R119" s="47"/>
      <c r="S119" s="194"/>
      <c r="T119" s="47"/>
      <c r="U119" s="194"/>
      <c r="V119" s="47"/>
      <c r="W119" s="194"/>
      <c r="X119" s="47">
        <v>35</v>
      </c>
      <c r="Y119" s="194"/>
      <c r="Z119" s="194"/>
      <c r="AA119" s="47"/>
      <c r="AB119" s="47"/>
      <c r="AC119" s="47"/>
      <c r="AD119" s="47"/>
      <c r="AE119" s="194"/>
      <c r="AF119" s="194"/>
      <c r="AG119" s="194"/>
      <c r="AI119" s="47"/>
      <c r="AJ119" s="223"/>
      <c r="AK119" s="47"/>
      <c r="AL119" s="47"/>
      <c r="AM119" s="47"/>
      <c r="AN119" s="47"/>
      <c r="AO119" s="47"/>
      <c r="AP119" s="194"/>
      <c r="AQ119" s="47"/>
      <c r="AR119" s="47"/>
      <c r="AS119" s="47"/>
      <c r="AT119" s="194"/>
      <c r="AU119" s="194"/>
      <c r="AV119" s="194"/>
      <c r="AW119" s="194"/>
      <c r="AX119" s="194"/>
      <c r="AY119" s="194"/>
      <c r="AZ119" s="194"/>
      <c r="BA119" s="194"/>
      <c r="BB119" s="194"/>
      <c r="BC119" s="194"/>
      <c r="BD119" s="194"/>
      <c r="BE119" s="194"/>
      <c r="BF119" s="194"/>
      <c r="BG119" s="194"/>
      <c r="BH119" s="194"/>
      <c r="BI119" s="194"/>
      <c r="BJ119" s="194"/>
      <c r="BK119" s="194"/>
      <c r="BL119" s="194"/>
      <c r="BM119" s="194"/>
      <c r="BN119" s="194"/>
      <c r="BO119" s="194"/>
      <c r="BP119" s="194"/>
      <c r="BQ119" s="47"/>
      <c r="BR119" s="194"/>
      <c r="BS119" s="47"/>
      <c r="BT119" s="47"/>
      <c r="BU119" s="47"/>
      <c r="BV119" s="47"/>
      <c r="BW119" s="47"/>
      <c r="BX119" s="194"/>
      <c r="BY119" s="194"/>
      <c r="BZ119" s="194"/>
      <c r="CA119" s="194"/>
      <c r="CB119" s="194"/>
      <c r="CC119" s="47"/>
      <c r="CD119" s="47"/>
      <c r="CE119" s="47"/>
      <c r="CF119" s="47"/>
      <c r="CG119" s="47"/>
      <c r="CH119" s="47"/>
      <c r="CI119" s="47"/>
      <c r="CJ119" s="47"/>
      <c r="CK119" s="194"/>
      <c r="CL119" s="194"/>
      <c r="CM119" s="47"/>
      <c r="CN119" s="47"/>
      <c r="CO119" s="47"/>
      <c r="CP119" s="47">
        <v>38</v>
      </c>
      <c r="CQ119" s="47"/>
      <c r="CR119" s="47"/>
      <c r="CS119" s="198">
        <v>35</v>
      </c>
      <c r="CT119" s="47"/>
      <c r="CU119" s="47"/>
      <c r="CV119" s="47"/>
      <c r="CW119" s="47"/>
      <c r="CX119" s="194"/>
      <c r="CY119" s="47"/>
      <c r="CZ119" s="47"/>
      <c r="DA119" s="47"/>
      <c r="DB119" s="47"/>
      <c r="DC119" s="47"/>
      <c r="DD119" s="47"/>
      <c r="DE119" s="47"/>
      <c r="DF119" s="47"/>
      <c r="DG119" s="47"/>
      <c r="DH119" s="47"/>
      <c r="DI119" s="47"/>
      <c r="DJ119" s="47"/>
      <c r="DK119" s="47"/>
      <c r="DL119" s="47"/>
      <c r="DM119" s="47"/>
      <c r="DN119" s="47"/>
      <c r="DO119" s="47"/>
      <c r="DP119" s="47"/>
      <c r="DQ119" s="47"/>
      <c r="DR119" s="47"/>
      <c r="DS119" s="47"/>
      <c r="DT119" s="47"/>
      <c r="DU119" s="47"/>
      <c r="DV119" s="47"/>
      <c r="DW119" s="198"/>
      <c r="DX119" s="47"/>
      <c r="DY119" s="194"/>
      <c r="DZ119" s="47"/>
      <c r="EA119" s="47"/>
      <c r="EB119" s="194"/>
      <c r="EC119" s="47"/>
      <c r="ED119" s="195"/>
      <c r="EE119" s="195"/>
      <c r="EF119" s="195"/>
      <c r="EG119" s="195"/>
      <c r="EH119" s="195">
        <v>2</v>
      </c>
      <c r="EI119" s="196">
        <f t="shared" si="8"/>
        <v>56.24</v>
      </c>
      <c r="EJ119" s="201">
        <f t="shared" si="9"/>
        <v>35.712400000000002</v>
      </c>
      <c r="EK119" s="202">
        <f t="shared" si="10"/>
        <v>36</v>
      </c>
      <c r="EM119" s="1">
        <v>27.5</v>
      </c>
      <c r="EN119" s="1">
        <f>EM119*0.07</f>
        <v>1.9250000000000003</v>
      </c>
      <c r="FA119" s="251">
        <f t="shared" si="6"/>
        <v>28.12</v>
      </c>
    </row>
    <row r="120" spans="1:157" s="1" customFormat="1" ht="20.149999999999999" customHeight="1" x14ac:dyDescent="0.35">
      <c r="A120" s="2"/>
      <c r="B120" s="189" t="s">
        <v>891</v>
      </c>
      <c r="C120" s="47" t="s">
        <v>1414</v>
      </c>
      <c r="D120" s="2" t="s">
        <v>770</v>
      </c>
      <c r="E120" s="2" t="s">
        <v>799</v>
      </c>
      <c r="F120" s="48" t="s">
        <v>613</v>
      </c>
      <c r="G120" s="48" t="s">
        <v>37</v>
      </c>
      <c r="H120" s="223"/>
      <c r="I120" s="47"/>
      <c r="J120" s="47"/>
      <c r="K120" s="47"/>
      <c r="L120" s="47"/>
      <c r="M120" s="47"/>
      <c r="N120" s="194"/>
      <c r="O120" s="194"/>
      <c r="P120" s="194"/>
      <c r="Q120" s="194"/>
      <c r="R120" s="47"/>
      <c r="S120" s="194"/>
      <c r="T120" s="47"/>
      <c r="U120" s="194"/>
      <c r="V120" s="47"/>
      <c r="W120" s="194"/>
      <c r="X120" s="47"/>
      <c r="Y120" s="194"/>
      <c r="Z120" s="194"/>
      <c r="AA120" s="47"/>
      <c r="AB120" s="47">
        <v>1.6</v>
      </c>
      <c r="AC120" s="47"/>
      <c r="AD120" s="47"/>
      <c r="AE120" s="194"/>
      <c r="AF120" s="194"/>
      <c r="AG120" s="194"/>
      <c r="AI120" s="47"/>
      <c r="AJ120" s="223"/>
      <c r="AK120" s="47"/>
      <c r="AL120" s="47"/>
      <c r="AM120" s="47"/>
      <c r="AN120" s="47"/>
      <c r="AO120" s="47"/>
      <c r="AP120" s="194"/>
      <c r="AQ120" s="47"/>
      <c r="AR120" s="47"/>
      <c r="AS120" s="47"/>
      <c r="AT120" s="194"/>
      <c r="AU120" s="194"/>
      <c r="AV120" s="194"/>
      <c r="AW120" s="194"/>
      <c r="AX120" s="194"/>
      <c r="AY120" s="194"/>
      <c r="AZ120" s="194"/>
      <c r="BA120" s="194"/>
      <c r="BB120" s="194"/>
      <c r="BC120" s="194"/>
      <c r="BD120" s="194"/>
      <c r="BE120" s="194"/>
      <c r="BF120" s="194"/>
      <c r="BG120" s="194"/>
      <c r="BH120" s="194"/>
      <c r="BI120" s="194"/>
      <c r="BJ120" s="194"/>
      <c r="BK120" s="194"/>
      <c r="BL120" s="194"/>
      <c r="BM120" s="194"/>
      <c r="BN120" s="194"/>
      <c r="BO120" s="194"/>
      <c r="BP120" s="194"/>
      <c r="BQ120" s="47"/>
      <c r="BR120" s="194"/>
      <c r="BS120" s="47"/>
      <c r="BT120" s="47"/>
      <c r="BU120" s="47"/>
      <c r="BV120" s="47"/>
      <c r="BW120" s="47"/>
      <c r="BX120" s="194"/>
      <c r="BY120" s="194"/>
      <c r="BZ120" s="194"/>
      <c r="CA120" s="194"/>
      <c r="CB120" s="194"/>
      <c r="CC120" s="47"/>
      <c r="CD120" s="47"/>
      <c r="CE120" s="47"/>
      <c r="CF120" s="47"/>
      <c r="CG120" s="47"/>
      <c r="CH120" s="47"/>
      <c r="CI120" s="47"/>
      <c r="CJ120" s="47"/>
      <c r="CK120" s="224"/>
      <c r="CL120" s="194"/>
      <c r="CM120" s="47"/>
      <c r="CN120" s="47"/>
      <c r="CO120" s="47"/>
      <c r="CP120" s="47"/>
      <c r="CQ120" s="47"/>
      <c r="CR120" s="47"/>
      <c r="CS120" s="47"/>
      <c r="CT120" s="47"/>
      <c r="CU120" s="47"/>
      <c r="CV120" s="47"/>
      <c r="CW120" s="47"/>
      <c r="CX120" s="194"/>
      <c r="CY120" s="47"/>
      <c r="CZ120" s="47"/>
      <c r="DA120" s="47"/>
      <c r="DB120" s="47"/>
      <c r="DC120" s="47"/>
      <c r="DD120" s="47"/>
      <c r="DE120" s="47"/>
      <c r="DF120" s="47"/>
      <c r="DG120" s="47"/>
      <c r="DH120" s="47"/>
      <c r="DI120" s="47"/>
      <c r="DJ120" s="47"/>
      <c r="DK120" s="47"/>
      <c r="DL120" s="47"/>
      <c r="DM120" s="47"/>
      <c r="DN120" s="47"/>
      <c r="DO120" s="47"/>
      <c r="DP120" s="47"/>
      <c r="DQ120" s="47"/>
      <c r="DR120" s="47"/>
      <c r="DS120" s="47"/>
      <c r="DT120" s="47"/>
      <c r="DU120" s="47">
        <f>9/3/2</f>
        <v>1.5</v>
      </c>
      <c r="DV120" s="47"/>
      <c r="DW120" s="198"/>
      <c r="DX120" s="47"/>
      <c r="DY120" s="194"/>
      <c r="DZ120" s="47"/>
      <c r="EA120" s="47"/>
      <c r="EB120" s="194"/>
      <c r="EC120" s="47"/>
      <c r="ED120" s="195"/>
      <c r="EE120" s="195"/>
      <c r="EF120" s="195"/>
      <c r="EG120" s="195"/>
      <c r="EH120" s="195"/>
      <c r="EI120" s="196">
        <f t="shared" si="8"/>
        <v>0</v>
      </c>
      <c r="EJ120" s="201">
        <f t="shared" si="9"/>
        <v>0</v>
      </c>
      <c r="EK120" s="202">
        <f t="shared" si="10"/>
        <v>1.55</v>
      </c>
      <c r="EM120" s="1">
        <v>30</v>
      </c>
      <c r="EN120" s="1">
        <f>EM120*0.07</f>
        <v>2.1</v>
      </c>
      <c r="EO120" s="1">
        <f>EM120+EN120</f>
        <v>32.1</v>
      </c>
      <c r="EP120" s="1">
        <f>EO120-EM119-EN119</f>
        <v>2.6750000000000012</v>
      </c>
      <c r="FA120" s="251">
        <f t="shared" si="6"/>
        <v>0</v>
      </c>
    </row>
    <row r="121" spans="1:157" s="1" customFormat="1" ht="20.149999999999999" customHeight="1" x14ac:dyDescent="0.35">
      <c r="A121" s="47" t="s">
        <v>527</v>
      </c>
      <c r="B121" s="189" t="s">
        <v>892</v>
      </c>
      <c r="C121" s="47" t="s">
        <v>1414</v>
      </c>
      <c r="D121" s="2" t="s">
        <v>770</v>
      </c>
      <c r="E121" s="2" t="s">
        <v>239</v>
      </c>
      <c r="F121" s="48" t="s">
        <v>801</v>
      </c>
      <c r="G121" s="48" t="s">
        <v>32</v>
      </c>
      <c r="H121" s="328">
        <v>29</v>
      </c>
      <c r="I121" s="47"/>
      <c r="J121" s="47"/>
      <c r="K121" s="47"/>
      <c r="L121" s="47"/>
      <c r="M121" s="47"/>
      <c r="N121" s="194"/>
      <c r="O121" s="194"/>
      <c r="P121" s="194"/>
      <c r="Q121" s="194"/>
      <c r="R121" s="47"/>
      <c r="S121" s="194"/>
      <c r="T121" s="47"/>
      <c r="U121" s="194"/>
      <c r="V121" s="47"/>
      <c r="W121" s="194"/>
      <c r="X121" s="47"/>
      <c r="Y121" s="194"/>
      <c r="Z121" s="194"/>
      <c r="AA121" s="47"/>
      <c r="AB121" s="47"/>
      <c r="AC121" s="47"/>
      <c r="AD121" s="47"/>
      <c r="AE121" s="194"/>
      <c r="AF121" s="194"/>
      <c r="AG121" s="194"/>
      <c r="AI121" s="47"/>
      <c r="AJ121" s="223"/>
      <c r="AK121" s="47"/>
      <c r="AL121" s="47"/>
      <c r="AM121" s="47"/>
      <c r="AN121" s="47"/>
      <c r="AO121" s="47"/>
      <c r="AP121" s="194"/>
      <c r="AQ121" s="47"/>
      <c r="AR121" s="47"/>
      <c r="AS121" s="47"/>
      <c r="AT121" s="194"/>
      <c r="AU121" s="194"/>
      <c r="AV121" s="194"/>
      <c r="AW121" s="194"/>
      <c r="AX121" s="194"/>
      <c r="AY121" s="194"/>
      <c r="AZ121" s="194"/>
      <c r="BA121" s="194"/>
      <c r="BB121" s="194"/>
      <c r="BC121" s="194"/>
      <c r="BD121" s="194"/>
      <c r="BE121" s="194"/>
      <c r="BF121" s="194"/>
      <c r="BG121" s="194"/>
      <c r="BH121" s="194"/>
      <c r="BI121" s="194"/>
      <c r="BJ121" s="194"/>
      <c r="BK121" s="194"/>
      <c r="BL121" s="194"/>
      <c r="BM121" s="194"/>
      <c r="BN121" s="194"/>
      <c r="BO121" s="194"/>
      <c r="BP121" s="194"/>
      <c r="BQ121" s="47"/>
      <c r="BR121" s="194"/>
      <c r="BS121" s="47"/>
      <c r="BT121" s="47"/>
      <c r="BU121" s="47"/>
      <c r="BV121" s="47"/>
      <c r="BW121" s="47"/>
      <c r="BX121" s="194"/>
      <c r="BY121" s="194"/>
      <c r="BZ121" s="194"/>
      <c r="CA121" s="194"/>
      <c r="CB121" s="194"/>
      <c r="CC121" s="47"/>
      <c r="CD121" s="47"/>
      <c r="CE121" s="47"/>
      <c r="CF121" s="47"/>
      <c r="CG121" s="47">
        <v>36</v>
      </c>
      <c r="CH121" s="47"/>
      <c r="CI121" s="47"/>
      <c r="CJ121" s="47"/>
      <c r="CK121" s="224"/>
      <c r="CL121" s="194"/>
      <c r="CM121" s="47"/>
      <c r="CN121" s="47"/>
      <c r="CO121" s="47"/>
      <c r="CP121" s="47"/>
      <c r="CQ121" s="47"/>
      <c r="CR121" s="47"/>
      <c r="CS121" s="47"/>
      <c r="CT121" s="47"/>
      <c r="CU121" s="47"/>
      <c r="CV121" s="47"/>
      <c r="CW121" s="47"/>
      <c r="CX121" s="194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198"/>
      <c r="DX121" s="47"/>
      <c r="DY121" s="194"/>
      <c r="DZ121" s="47"/>
      <c r="EA121" s="47"/>
      <c r="EB121" s="194"/>
      <c r="EC121" s="47"/>
      <c r="ED121" s="195"/>
      <c r="EE121" s="195"/>
      <c r="EF121" s="195"/>
      <c r="EG121" s="195"/>
      <c r="EH121" s="195">
        <v>0</v>
      </c>
      <c r="EI121" s="196">
        <f t="shared" si="8"/>
        <v>0</v>
      </c>
      <c r="EJ121" s="201">
        <f t="shared" si="9"/>
        <v>36.83</v>
      </c>
      <c r="EK121" s="202">
        <f t="shared" si="10"/>
        <v>36</v>
      </c>
      <c r="FA121" s="251">
        <f t="shared" si="6"/>
        <v>29</v>
      </c>
    </row>
    <row r="122" spans="1:157" s="1" customFormat="1" ht="20.149999999999999" customHeight="1" x14ac:dyDescent="0.35">
      <c r="A122" s="47"/>
      <c r="B122" s="189" t="s">
        <v>893</v>
      </c>
      <c r="C122" s="47" t="s">
        <v>1760</v>
      </c>
      <c r="D122" s="2" t="s">
        <v>637</v>
      </c>
      <c r="E122" s="2" t="s">
        <v>33</v>
      </c>
      <c r="F122" s="48" t="s">
        <v>573</v>
      </c>
      <c r="G122" s="48" t="s">
        <v>37</v>
      </c>
      <c r="H122" s="57">
        <f>120*1.08</f>
        <v>129.60000000000002</v>
      </c>
      <c r="I122" s="47"/>
      <c r="J122" s="47"/>
      <c r="K122" s="47"/>
      <c r="L122" s="47"/>
      <c r="M122" s="47"/>
      <c r="N122" s="194"/>
      <c r="O122" s="194"/>
      <c r="P122" s="194"/>
      <c r="Q122" s="194"/>
      <c r="R122" s="47"/>
      <c r="S122" s="194"/>
      <c r="T122" s="47"/>
      <c r="U122" s="194"/>
      <c r="V122" s="47"/>
      <c r="W122" s="194"/>
      <c r="X122" s="47"/>
      <c r="Y122" s="194"/>
      <c r="Z122" s="194"/>
      <c r="AA122" s="47"/>
      <c r="AB122" s="47"/>
      <c r="AC122" s="47"/>
      <c r="AD122" s="47"/>
      <c r="AE122" s="194"/>
      <c r="AF122" s="194"/>
      <c r="AG122" s="194"/>
      <c r="AI122" s="47"/>
      <c r="AJ122" s="223"/>
      <c r="AK122" s="47"/>
      <c r="AL122" s="47"/>
      <c r="AM122" s="47"/>
      <c r="AN122" s="47"/>
      <c r="AO122" s="47"/>
      <c r="AP122" s="194"/>
      <c r="AQ122" s="47"/>
      <c r="AR122" s="47"/>
      <c r="AS122" s="47"/>
      <c r="AT122" s="194"/>
      <c r="AU122" s="194"/>
      <c r="AV122" s="194"/>
      <c r="AW122" s="194"/>
      <c r="AX122" s="194"/>
      <c r="AY122" s="194"/>
      <c r="AZ122" s="194"/>
      <c r="BA122" s="194"/>
      <c r="BB122" s="194"/>
      <c r="BC122" s="194"/>
      <c r="BD122" s="194"/>
      <c r="BE122" s="194"/>
      <c r="BF122" s="194"/>
      <c r="BG122" s="194"/>
      <c r="BH122" s="194"/>
      <c r="BI122" s="194"/>
      <c r="BJ122" s="194"/>
      <c r="BK122" s="194"/>
      <c r="BL122" s="194"/>
      <c r="BM122" s="194"/>
      <c r="BN122" s="194"/>
      <c r="BO122" s="194"/>
      <c r="BP122" s="194"/>
      <c r="BQ122" s="47"/>
      <c r="BR122" s="194"/>
      <c r="BS122" s="47"/>
      <c r="BT122" s="47"/>
      <c r="BU122" s="47"/>
      <c r="BV122" s="47"/>
      <c r="BW122" s="47"/>
      <c r="BX122" s="194"/>
      <c r="BY122" s="194"/>
      <c r="BZ122" s="194"/>
      <c r="CA122" s="194"/>
      <c r="CB122" s="194"/>
      <c r="CC122" s="47"/>
      <c r="CD122" s="47"/>
      <c r="CE122" s="47"/>
      <c r="CF122" s="47"/>
      <c r="CG122" s="47"/>
      <c r="CH122" s="47"/>
      <c r="CI122" s="47"/>
      <c r="CJ122" s="47"/>
      <c r="CK122" s="224"/>
      <c r="CL122" s="194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194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198"/>
      <c r="DX122" s="47"/>
      <c r="DY122" s="194"/>
      <c r="DZ122" s="47"/>
      <c r="EA122" s="47"/>
      <c r="EB122" s="194"/>
      <c r="EC122" s="47"/>
      <c r="ED122" s="195"/>
      <c r="EE122" s="195"/>
      <c r="EF122" s="195"/>
      <c r="EG122" s="195"/>
      <c r="EH122" s="195">
        <v>5</v>
      </c>
      <c r="EI122" s="196">
        <f t="shared" si="8"/>
        <v>648.00000000000011</v>
      </c>
      <c r="EJ122" s="201">
        <f t="shared" si="9"/>
        <v>164.59200000000004</v>
      </c>
      <c r="EK122" s="202">
        <v>0</v>
      </c>
      <c r="FA122" s="251">
        <f t="shared" si="6"/>
        <v>129.60000000000002</v>
      </c>
    </row>
    <row r="123" spans="1:157" s="1" customFormat="1" ht="20.149999999999999" customHeight="1" x14ac:dyDescent="0.35">
      <c r="A123" s="47" t="s">
        <v>814</v>
      </c>
      <c r="B123" s="189" t="s">
        <v>894</v>
      </c>
      <c r="C123" s="47" t="s">
        <v>1760</v>
      </c>
      <c r="D123" s="2" t="s">
        <v>637</v>
      </c>
      <c r="E123" s="2" t="s">
        <v>33</v>
      </c>
      <c r="F123" s="48" t="s">
        <v>31</v>
      </c>
      <c r="G123" s="48" t="s">
        <v>37</v>
      </c>
      <c r="H123" s="57">
        <f>H122/25</f>
        <v>5.1840000000000011</v>
      </c>
      <c r="I123" s="47"/>
      <c r="J123" s="47"/>
      <c r="K123" s="47"/>
      <c r="L123" s="47"/>
      <c r="M123" s="47"/>
      <c r="N123" s="194"/>
      <c r="O123" s="194"/>
      <c r="P123" s="194"/>
      <c r="Q123" s="194"/>
      <c r="R123" s="47"/>
      <c r="S123" s="194"/>
      <c r="T123" s="47"/>
      <c r="U123" s="194"/>
      <c r="V123" s="47"/>
      <c r="W123" s="194"/>
      <c r="X123" s="47"/>
      <c r="Y123" s="194"/>
      <c r="Z123" s="194"/>
      <c r="AA123" s="47"/>
      <c r="AB123" s="47"/>
      <c r="AC123" s="47"/>
      <c r="AD123" s="47"/>
      <c r="AE123" s="194"/>
      <c r="AF123" s="194"/>
      <c r="AG123" s="194"/>
      <c r="AI123" s="47"/>
      <c r="AJ123" s="223"/>
      <c r="AK123" s="47"/>
      <c r="AL123" s="47"/>
      <c r="AM123" s="47"/>
      <c r="AN123" s="47"/>
      <c r="AO123" s="47"/>
      <c r="AP123" s="194"/>
      <c r="AQ123" s="47"/>
      <c r="AR123" s="47"/>
      <c r="AS123" s="47"/>
      <c r="AT123" s="194"/>
      <c r="AU123" s="194"/>
      <c r="AV123" s="194"/>
      <c r="AW123" s="194"/>
      <c r="AX123" s="194"/>
      <c r="AY123" s="194"/>
      <c r="AZ123" s="194"/>
      <c r="BA123" s="194"/>
      <c r="BB123" s="194"/>
      <c r="BC123" s="194"/>
      <c r="BD123" s="194"/>
      <c r="BE123" s="194"/>
      <c r="BF123" s="194"/>
      <c r="BG123" s="194"/>
      <c r="BH123" s="194"/>
      <c r="BI123" s="194"/>
      <c r="BJ123" s="194"/>
      <c r="BK123" s="194"/>
      <c r="BL123" s="194"/>
      <c r="BM123" s="194"/>
      <c r="BN123" s="194"/>
      <c r="BO123" s="194"/>
      <c r="BP123" s="194"/>
      <c r="BQ123" s="47"/>
      <c r="BR123" s="194"/>
      <c r="BS123" s="47"/>
      <c r="BT123" s="47"/>
      <c r="BU123" s="47"/>
      <c r="BV123" s="47"/>
      <c r="BW123" s="47"/>
      <c r="BX123" s="194"/>
      <c r="BY123" s="194"/>
      <c r="BZ123" s="194"/>
      <c r="CA123" s="194"/>
      <c r="CB123" s="194"/>
      <c r="CC123" s="47"/>
      <c r="CD123" s="47"/>
      <c r="CE123" s="47"/>
      <c r="CF123" s="47"/>
      <c r="CG123" s="47"/>
      <c r="CH123" s="47"/>
      <c r="CI123" s="47"/>
      <c r="CJ123" s="47"/>
      <c r="CK123" s="224"/>
      <c r="CL123" s="194"/>
      <c r="CM123" s="47"/>
      <c r="CN123" s="47"/>
      <c r="CO123" s="47"/>
      <c r="CP123" s="47">
        <v>6.5</v>
      </c>
      <c r="CQ123" s="47"/>
      <c r="CR123" s="47"/>
      <c r="CS123" s="47"/>
      <c r="CT123" s="47"/>
      <c r="CU123" s="47"/>
      <c r="CV123" s="47">
        <v>6.5</v>
      </c>
      <c r="CW123" s="47"/>
      <c r="CX123" s="194"/>
      <c r="CY123" s="47"/>
      <c r="CZ123" s="47"/>
      <c r="DA123" s="47"/>
      <c r="DB123" s="47"/>
      <c r="DC123" s="47"/>
      <c r="DD123" s="47"/>
      <c r="DE123" s="47"/>
      <c r="DF123" s="47"/>
      <c r="DG123" s="47"/>
      <c r="DH123" s="47"/>
      <c r="DI123" s="47"/>
      <c r="DJ123" s="47"/>
      <c r="DK123" s="47"/>
      <c r="DL123" s="47"/>
      <c r="DM123" s="47"/>
      <c r="DN123" s="47"/>
      <c r="DO123" s="47"/>
      <c r="DP123" s="47"/>
      <c r="DQ123" s="47"/>
      <c r="DR123" s="47"/>
      <c r="DS123" s="47"/>
      <c r="DT123" s="47"/>
      <c r="DU123" s="47"/>
      <c r="DV123" s="47"/>
      <c r="DW123" s="198"/>
      <c r="DX123" s="47"/>
      <c r="DY123" s="194"/>
      <c r="DZ123" s="47"/>
      <c r="EA123" s="47"/>
      <c r="EB123" s="194"/>
      <c r="EC123" s="47"/>
      <c r="ED123" s="195"/>
      <c r="EE123" s="195"/>
      <c r="EF123" s="195"/>
      <c r="EG123" s="195"/>
      <c r="EH123" s="195">
        <v>1</v>
      </c>
      <c r="EI123" s="196">
        <f t="shared" si="8"/>
        <v>5.1840000000000011</v>
      </c>
      <c r="EJ123" s="201">
        <f t="shared" si="9"/>
        <v>6.5836800000000011</v>
      </c>
      <c r="EK123" s="202">
        <f t="shared" si="10"/>
        <v>6.5</v>
      </c>
      <c r="FA123" s="251">
        <f t="shared" si="6"/>
        <v>5.1840000000000011</v>
      </c>
    </row>
    <row r="124" spans="1:157" s="1" customFormat="1" ht="20.149999999999999" customHeight="1" x14ac:dyDescent="0.35">
      <c r="A124" s="47"/>
      <c r="B124" s="189" t="s">
        <v>895</v>
      </c>
      <c r="C124" s="47" t="s">
        <v>175</v>
      </c>
      <c r="D124" s="2" t="s">
        <v>770</v>
      </c>
      <c r="E124" s="2" t="s">
        <v>545</v>
      </c>
      <c r="F124" s="48" t="s">
        <v>573</v>
      </c>
      <c r="G124" s="48" t="s">
        <v>37</v>
      </c>
      <c r="H124" s="57">
        <v>24.5</v>
      </c>
      <c r="I124" s="47"/>
      <c r="J124" s="47"/>
      <c r="K124" s="47"/>
      <c r="L124" s="47"/>
      <c r="M124" s="47"/>
      <c r="N124" s="194"/>
      <c r="O124" s="194"/>
      <c r="P124" s="194"/>
      <c r="Q124" s="194"/>
      <c r="R124" s="47"/>
      <c r="S124" s="194"/>
      <c r="T124" s="47"/>
      <c r="U124" s="194"/>
      <c r="V124" s="47"/>
      <c r="W124" s="194"/>
      <c r="X124" s="47"/>
      <c r="Y124" s="194"/>
      <c r="Z124" s="194"/>
      <c r="AA124" s="47"/>
      <c r="AB124" s="47"/>
      <c r="AC124" s="47"/>
      <c r="AD124" s="47"/>
      <c r="AE124" s="194"/>
      <c r="AF124" s="194"/>
      <c r="AG124" s="194"/>
      <c r="AI124" s="47"/>
      <c r="AJ124" s="223"/>
      <c r="AK124" s="47"/>
      <c r="AL124" s="47"/>
      <c r="AM124" s="47"/>
      <c r="AN124" s="47"/>
      <c r="AO124" s="47"/>
      <c r="AP124" s="194"/>
      <c r="AQ124" s="47"/>
      <c r="AR124" s="47"/>
      <c r="AS124" s="47"/>
      <c r="AT124" s="194"/>
      <c r="AU124" s="194"/>
      <c r="AV124" s="194"/>
      <c r="AW124" s="194"/>
      <c r="AX124" s="194"/>
      <c r="AY124" s="194"/>
      <c r="AZ124" s="194"/>
      <c r="BA124" s="194"/>
      <c r="BB124" s="194"/>
      <c r="BC124" s="194"/>
      <c r="BD124" s="194"/>
      <c r="BE124" s="194"/>
      <c r="BF124" s="194"/>
      <c r="BG124" s="194"/>
      <c r="BH124" s="194"/>
      <c r="BI124" s="194"/>
      <c r="BJ124" s="194"/>
      <c r="BK124" s="194"/>
      <c r="BL124" s="194"/>
      <c r="BM124" s="194"/>
      <c r="BN124" s="194"/>
      <c r="BO124" s="194"/>
      <c r="BP124" s="194"/>
      <c r="BQ124" s="47"/>
      <c r="BR124" s="194"/>
      <c r="BS124" s="47"/>
      <c r="BT124" s="47"/>
      <c r="BU124" s="47"/>
      <c r="BV124" s="47"/>
      <c r="BW124" s="47"/>
      <c r="BX124" s="194"/>
      <c r="BY124" s="194"/>
      <c r="BZ124" s="194"/>
      <c r="CA124" s="194"/>
      <c r="CB124" s="194"/>
      <c r="CC124" s="47"/>
      <c r="CD124" s="47"/>
      <c r="CE124" s="47"/>
      <c r="CF124" s="47"/>
      <c r="CG124" s="47"/>
      <c r="CH124" s="47"/>
      <c r="CI124" s="47"/>
      <c r="CJ124" s="47"/>
      <c r="CK124" s="224"/>
      <c r="CL124" s="194"/>
      <c r="CM124" s="47"/>
      <c r="CN124" s="47"/>
      <c r="CO124" s="47"/>
      <c r="CP124" s="47"/>
      <c r="CQ124" s="47"/>
      <c r="CR124" s="47"/>
      <c r="CS124" s="47"/>
      <c r="CT124" s="47"/>
      <c r="CU124" s="47"/>
      <c r="CV124" s="47"/>
      <c r="CW124" s="47"/>
      <c r="CX124" s="194"/>
      <c r="CY124" s="47"/>
      <c r="CZ124" s="47"/>
      <c r="DA124" s="47"/>
      <c r="DB124" s="47"/>
      <c r="DC124" s="47"/>
      <c r="DD124" s="47"/>
      <c r="DE124" s="47"/>
      <c r="DF124" s="47"/>
      <c r="DG124" s="47"/>
      <c r="DH124" s="47"/>
      <c r="DI124" s="47"/>
      <c r="DJ124" s="47"/>
      <c r="DK124" s="47"/>
      <c r="DL124" s="47"/>
      <c r="DM124" s="47"/>
      <c r="DN124" s="47"/>
      <c r="DO124" s="47"/>
      <c r="DP124" s="47"/>
      <c r="DQ124" s="47"/>
      <c r="DR124" s="47"/>
      <c r="DS124" s="47"/>
      <c r="DT124" s="47"/>
      <c r="DU124" s="47"/>
      <c r="DV124" s="47"/>
      <c r="DW124" s="198"/>
      <c r="DX124" s="47"/>
      <c r="DY124" s="194"/>
      <c r="DZ124" s="47"/>
      <c r="EA124" s="47"/>
      <c r="EB124" s="194"/>
      <c r="EC124" s="47"/>
      <c r="ED124" s="195"/>
      <c r="EE124" s="195"/>
      <c r="EF124" s="195"/>
      <c r="EG124" s="195"/>
      <c r="EH124" s="195">
        <v>9</v>
      </c>
      <c r="EI124" s="196">
        <f t="shared" si="8"/>
        <v>220.5</v>
      </c>
      <c r="EJ124" s="201">
        <f t="shared" si="9"/>
        <v>31.115000000000002</v>
      </c>
      <c r="EK124" s="202">
        <v>0</v>
      </c>
      <c r="FA124" s="251">
        <f t="shared" si="6"/>
        <v>24.5</v>
      </c>
    </row>
    <row r="125" spans="1:157" s="1" customFormat="1" ht="20.149999999999999" customHeight="1" x14ac:dyDescent="0.35">
      <c r="A125" s="47"/>
      <c r="B125" s="189" t="s">
        <v>896</v>
      </c>
      <c r="C125" s="47" t="s">
        <v>175</v>
      </c>
      <c r="D125" s="2" t="s">
        <v>770</v>
      </c>
      <c r="E125" s="2" t="s">
        <v>545</v>
      </c>
      <c r="F125" s="48" t="s">
        <v>802</v>
      </c>
      <c r="G125" s="48" t="s">
        <v>37</v>
      </c>
      <c r="H125" s="328">
        <v>31</v>
      </c>
      <c r="I125" s="47"/>
      <c r="J125" s="47"/>
      <c r="K125" s="47"/>
      <c r="L125" s="47"/>
      <c r="M125" s="47"/>
      <c r="N125" s="194"/>
      <c r="O125" s="194"/>
      <c r="P125" s="194"/>
      <c r="Q125" s="194"/>
      <c r="R125" s="47"/>
      <c r="S125" s="194"/>
      <c r="T125" s="47"/>
      <c r="U125" s="194"/>
      <c r="V125" s="47"/>
      <c r="W125" s="194"/>
      <c r="X125" s="47"/>
      <c r="Y125" s="194"/>
      <c r="Z125" s="194"/>
      <c r="AA125" s="47"/>
      <c r="AB125" s="47"/>
      <c r="AC125" s="47"/>
      <c r="AD125" s="47"/>
      <c r="AE125" s="194"/>
      <c r="AF125" s="194"/>
      <c r="AG125" s="194"/>
      <c r="AI125" s="47"/>
      <c r="AJ125" s="223"/>
      <c r="AK125" s="47"/>
      <c r="AL125" s="47"/>
      <c r="AM125" s="47"/>
      <c r="AN125" s="47"/>
      <c r="AO125" s="47"/>
      <c r="AP125" s="194"/>
      <c r="AQ125" s="47"/>
      <c r="AR125" s="47"/>
      <c r="AS125" s="47"/>
      <c r="AT125" s="194"/>
      <c r="AU125" s="194"/>
      <c r="AV125" s="194"/>
      <c r="AW125" s="194"/>
      <c r="AX125" s="194"/>
      <c r="AY125" s="194"/>
      <c r="AZ125" s="194"/>
      <c r="BA125" s="194"/>
      <c r="BB125" s="194"/>
      <c r="BC125" s="194"/>
      <c r="BD125" s="194"/>
      <c r="BE125" s="194"/>
      <c r="BF125" s="194"/>
      <c r="BG125" s="194"/>
      <c r="BH125" s="194"/>
      <c r="BI125" s="194"/>
      <c r="BJ125" s="194"/>
      <c r="BK125" s="194"/>
      <c r="BL125" s="194"/>
      <c r="BM125" s="194"/>
      <c r="BN125" s="194"/>
      <c r="BO125" s="194"/>
      <c r="BP125" s="194"/>
      <c r="BQ125" s="47"/>
      <c r="BR125" s="194"/>
      <c r="BS125" s="47"/>
      <c r="BT125" s="47"/>
      <c r="BU125" s="47"/>
      <c r="BV125" s="47"/>
      <c r="BW125" s="47"/>
      <c r="BX125" s="194">
        <v>41</v>
      </c>
      <c r="BY125" s="194"/>
      <c r="BZ125" s="194"/>
      <c r="CA125" s="194"/>
      <c r="CB125" s="194"/>
      <c r="CC125" s="47"/>
      <c r="CD125" s="47"/>
      <c r="CE125" s="47"/>
      <c r="CF125" s="47"/>
      <c r="CG125" s="47"/>
      <c r="CH125" s="47"/>
      <c r="CI125" s="47"/>
      <c r="CJ125" s="47"/>
      <c r="CK125" s="224"/>
      <c r="CL125" s="194"/>
      <c r="CM125" s="47"/>
      <c r="CN125" s="47"/>
      <c r="CO125" s="47"/>
      <c r="CP125" s="47"/>
      <c r="CQ125" s="47"/>
      <c r="CR125" s="47"/>
      <c r="CS125" s="47"/>
      <c r="CT125" s="47"/>
      <c r="CU125" s="47"/>
      <c r="CV125" s="47"/>
      <c r="CW125" s="47"/>
      <c r="CX125" s="194"/>
      <c r="CY125" s="47"/>
      <c r="CZ125" s="47"/>
      <c r="DA125" s="47"/>
      <c r="DB125" s="47"/>
      <c r="DC125" s="47"/>
      <c r="DD125" s="47"/>
      <c r="DE125" s="47"/>
      <c r="DF125" s="47"/>
      <c r="DG125" s="47"/>
      <c r="DH125" s="47"/>
      <c r="DI125" s="47"/>
      <c r="DJ125" s="47"/>
      <c r="DK125" s="47"/>
      <c r="DL125" s="47"/>
      <c r="DM125" s="47"/>
      <c r="DN125" s="47"/>
      <c r="DO125" s="47"/>
      <c r="DP125" s="47"/>
      <c r="DQ125" s="47"/>
      <c r="DR125" s="47"/>
      <c r="DS125" s="47"/>
      <c r="DT125" s="47"/>
      <c r="DU125" s="47"/>
      <c r="DV125" s="47"/>
      <c r="DW125" s="198"/>
      <c r="DX125" s="47"/>
      <c r="DY125" s="194"/>
      <c r="DZ125" s="47"/>
      <c r="EA125" s="47"/>
      <c r="EB125" s="194"/>
      <c r="EC125" s="47"/>
      <c r="ED125" s="195"/>
      <c r="EE125" s="195"/>
      <c r="EF125" s="195"/>
      <c r="EG125" s="195"/>
      <c r="EH125" s="195">
        <v>9</v>
      </c>
      <c r="EI125" s="196">
        <f t="shared" si="8"/>
        <v>279</v>
      </c>
      <c r="EJ125" s="201">
        <f t="shared" si="9"/>
        <v>39.369999999999997</v>
      </c>
      <c r="EK125" s="202">
        <v>0</v>
      </c>
      <c r="FA125" s="251">
        <f t="shared" si="6"/>
        <v>31</v>
      </c>
    </row>
    <row r="126" spans="1:157" s="1" customFormat="1" ht="20.149999999999999" customHeight="1" x14ac:dyDescent="0.35">
      <c r="A126" s="47"/>
      <c r="B126" s="189" t="s">
        <v>897</v>
      </c>
      <c r="C126" s="47" t="s">
        <v>175</v>
      </c>
      <c r="D126" s="2" t="s">
        <v>770</v>
      </c>
      <c r="E126" s="2" t="s">
        <v>545</v>
      </c>
      <c r="F126" s="48" t="s">
        <v>409</v>
      </c>
      <c r="G126" s="48" t="s">
        <v>37</v>
      </c>
      <c r="H126" s="328">
        <f>H125/50</f>
        <v>0.62</v>
      </c>
      <c r="I126" s="47"/>
      <c r="J126" s="47"/>
      <c r="K126" s="47"/>
      <c r="L126" s="47"/>
      <c r="M126" s="47"/>
      <c r="N126" s="194"/>
      <c r="O126" s="194"/>
      <c r="P126" s="194"/>
      <c r="Q126" s="194"/>
      <c r="R126" s="47"/>
      <c r="S126" s="194"/>
      <c r="T126" s="47"/>
      <c r="U126" s="194"/>
      <c r="V126" s="47"/>
      <c r="W126" s="194"/>
      <c r="X126" s="47"/>
      <c r="Y126" s="194"/>
      <c r="Z126" s="194"/>
      <c r="AA126" s="47"/>
      <c r="AB126" s="47"/>
      <c r="AC126" s="47"/>
      <c r="AD126" s="47">
        <v>0.9</v>
      </c>
      <c r="AE126" s="194"/>
      <c r="AF126" s="194"/>
      <c r="AG126" s="194"/>
      <c r="AI126" s="47"/>
      <c r="AJ126" s="223"/>
      <c r="AK126" s="47"/>
      <c r="AL126" s="47"/>
      <c r="AM126" s="47"/>
      <c r="AN126" s="47"/>
      <c r="AO126" s="47"/>
      <c r="AP126" s="194"/>
      <c r="AQ126" s="47"/>
      <c r="AR126" s="47"/>
      <c r="AS126" s="47"/>
      <c r="AT126" s="194"/>
      <c r="AU126" s="194"/>
      <c r="AV126" s="194"/>
      <c r="AW126" s="194"/>
      <c r="AX126" s="194"/>
      <c r="AY126" s="194">
        <v>1</v>
      </c>
      <c r="AZ126" s="194"/>
      <c r="BA126" s="194"/>
      <c r="BB126" s="194"/>
      <c r="BC126" s="194"/>
      <c r="BD126" s="194"/>
      <c r="BE126" s="194"/>
      <c r="BF126" s="194"/>
      <c r="BG126" s="194"/>
      <c r="BH126" s="194"/>
      <c r="BI126" s="194"/>
      <c r="BJ126" s="194"/>
      <c r="BK126" s="194"/>
      <c r="BL126" s="194"/>
      <c r="BM126" s="194"/>
      <c r="BN126" s="194"/>
      <c r="BO126" s="194"/>
      <c r="BP126" s="194"/>
      <c r="BQ126" s="47"/>
      <c r="BR126" s="194"/>
      <c r="BS126" s="47"/>
      <c r="BT126" s="47"/>
      <c r="BU126" s="47"/>
      <c r="BV126" s="47"/>
      <c r="BW126" s="47"/>
      <c r="BX126" s="194"/>
      <c r="BY126" s="194"/>
      <c r="BZ126" s="194"/>
      <c r="CA126" s="194"/>
      <c r="CB126" s="194"/>
      <c r="CC126" s="47"/>
      <c r="CD126" s="47"/>
      <c r="CE126" s="47"/>
      <c r="CF126" s="47"/>
      <c r="CG126" s="47">
        <v>0.9</v>
      </c>
      <c r="CH126" s="47"/>
      <c r="CI126" s="47"/>
      <c r="CJ126" s="47"/>
      <c r="CK126" s="224"/>
      <c r="CL126" s="194">
        <v>1</v>
      </c>
      <c r="CM126" s="47"/>
      <c r="CN126" s="47"/>
      <c r="CO126" s="47"/>
      <c r="CP126" s="47"/>
      <c r="CQ126" s="47"/>
      <c r="CR126" s="47"/>
      <c r="CS126" s="47"/>
      <c r="CT126" s="47"/>
      <c r="CU126" s="47"/>
      <c r="CV126" s="47">
        <v>0.85</v>
      </c>
      <c r="CW126" s="47"/>
      <c r="CX126" s="194"/>
      <c r="CY126" s="47"/>
      <c r="CZ126" s="47"/>
      <c r="DA126" s="47"/>
      <c r="DB126" s="47"/>
      <c r="DC126" s="47"/>
      <c r="DD126" s="47"/>
      <c r="DE126" s="47"/>
      <c r="DF126" s="47"/>
      <c r="DG126" s="47"/>
      <c r="DH126" s="47"/>
      <c r="DI126" s="47"/>
      <c r="DJ126" s="47"/>
      <c r="DK126" s="47"/>
      <c r="DL126" s="47"/>
      <c r="DM126" s="47"/>
      <c r="DN126" s="47"/>
      <c r="DO126" s="47"/>
      <c r="DP126" s="47"/>
      <c r="DQ126" s="47"/>
      <c r="DR126" s="47"/>
      <c r="DS126" s="47"/>
      <c r="DT126" s="47"/>
      <c r="DU126" s="47"/>
      <c r="DV126" s="47">
        <v>8</v>
      </c>
      <c r="DW126" s="198"/>
      <c r="DX126" s="47"/>
      <c r="DY126" s="194"/>
      <c r="DZ126" s="47"/>
      <c r="EA126" s="47"/>
      <c r="EB126" s="194"/>
      <c r="EC126" s="47"/>
      <c r="ED126" s="195"/>
      <c r="EE126" s="195"/>
      <c r="EF126" s="195"/>
      <c r="EG126" s="195"/>
      <c r="EH126" s="195">
        <v>0</v>
      </c>
      <c r="EI126" s="196">
        <f t="shared" si="8"/>
        <v>0</v>
      </c>
      <c r="EJ126" s="201">
        <f t="shared" si="9"/>
        <v>0.78739999999999999</v>
      </c>
      <c r="EK126" s="202">
        <v>0.8</v>
      </c>
      <c r="FA126" s="251">
        <f t="shared" si="6"/>
        <v>0.62</v>
      </c>
    </row>
    <row r="127" spans="1:157" s="1" customFormat="1" ht="20.149999999999999" customHeight="1" x14ac:dyDescent="0.35">
      <c r="A127" s="47"/>
      <c r="B127" s="189" t="s">
        <v>898</v>
      </c>
      <c r="C127" s="47" t="s">
        <v>193</v>
      </c>
      <c r="D127" s="2" t="s">
        <v>770</v>
      </c>
      <c r="E127" s="48" t="s">
        <v>327</v>
      </c>
      <c r="F127" s="48" t="s">
        <v>798</v>
      </c>
      <c r="G127" s="48" t="s">
        <v>718</v>
      </c>
      <c r="H127" s="328">
        <v>33.6</v>
      </c>
      <c r="I127" s="47"/>
      <c r="J127" s="47"/>
      <c r="K127" s="47"/>
      <c r="L127" s="47"/>
      <c r="M127" s="47"/>
      <c r="N127" s="194"/>
      <c r="O127" s="194"/>
      <c r="P127" s="194"/>
      <c r="Q127" s="194"/>
      <c r="R127" s="47"/>
      <c r="S127" s="194"/>
      <c r="T127" s="47"/>
      <c r="U127" s="194"/>
      <c r="V127" s="47"/>
      <c r="W127" s="194"/>
      <c r="X127" s="47"/>
      <c r="Y127" s="194"/>
      <c r="Z127" s="194"/>
      <c r="AA127" s="47"/>
      <c r="AB127" s="47"/>
      <c r="AC127" s="47"/>
      <c r="AD127" s="47"/>
      <c r="AE127" s="194"/>
      <c r="AF127" s="194"/>
      <c r="AG127" s="194"/>
      <c r="AI127" s="47"/>
      <c r="AJ127" s="223"/>
      <c r="AK127" s="47"/>
      <c r="AL127" s="47"/>
      <c r="AM127" s="47"/>
      <c r="AN127" s="47"/>
      <c r="AO127" s="47"/>
      <c r="AP127" s="194"/>
      <c r="AQ127" s="47"/>
      <c r="AR127" s="47"/>
      <c r="AS127" s="47"/>
      <c r="AT127" s="194"/>
      <c r="AU127" s="194"/>
      <c r="AV127" s="194"/>
      <c r="AW127" s="194"/>
      <c r="AX127" s="194"/>
      <c r="AY127" s="194"/>
      <c r="AZ127" s="194"/>
      <c r="BA127" s="194"/>
      <c r="BB127" s="194"/>
      <c r="BC127" s="194"/>
      <c r="BD127" s="194"/>
      <c r="BE127" s="194"/>
      <c r="BF127" s="194"/>
      <c r="BG127" s="194"/>
      <c r="BH127" s="194"/>
      <c r="BI127" s="194"/>
      <c r="BJ127" s="194"/>
      <c r="BK127" s="194"/>
      <c r="BL127" s="194"/>
      <c r="BM127" s="194"/>
      <c r="BN127" s="194"/>
      <c r="BO127" s="194"/>
      <c r="BP127" s="194"/>
      <c r="BQ127" s="47"/>
      <c r="BR127" s="194"/>
      <c r="BS127" s="47"/>
      <c r="BT127" s="47"/>
      <c r="BU127" s="47"/>
      <c r="BV127" s="47"/>
      <c r="BW127" s="47"/>
      <c r="BX127" s="194"/>
      <c r="BY127" s="194"/>
      <c r="BZ127" s="194"/>
      <c r="CA127" s="194"/>
      <c r="CB127" s="194"/>
      <c r="CC127" s="47"/>
      <c r="CD127" s="47"/>
      <c r="CE127" s="47"/>
      <c r="CF127" s="47"/>
      <c r="CG127" s="47"/>
      <c r="CH127" s="47"/>
      <c r="CI127" s="47"/>
      <c r="CJ127" s="47"/>
      <c r="CK127" s="224"/>
      <c r="CL127" s="194"/>
      <c r="CM127" s="47"/>
      <c r="CN127" s="47"/>
      <c r="CO127" s="47"/>
      <c r="CP127" s="47"/>
      <c r="CQ127" s="47"/>
      <c r="CR127" s="47"/>
      <c r="CS127" s="47"/>
      <c r="CT127" s="47"/>
      <c r="CU127" s="47"/>
      <c r="CV127" s="47"/>
      <c r="CW127" s="47"/>
      <c r="CX127" s="194"/>
      <c r="CY127" s="47"/>
      <c r="CZ127" s="47"/>
      <c r="DA127" s="47"/>
      <c r="DB127" s="47"/>
      <c r="DC127" s="47"/>
      <c r="DD127" s="47"/>
      <c r="DE127" s="47"/>
      <c r="DF127" s="47"/>
      <c r="DG127" s="47"/>
      <c r="DH127" s="47"/>
      <c r="DI127" s="47"/>
      <c r="DJ127" s="47"/>
      <c r="DK127" s="47"/>
      <c r="DL127" s="47"/>
      <c r="DM127" s="47"/>
      <c r="DN127" s="47"/>
      <c r="DO127" s="47"/>
      <c r="DP127" s="47"/>
      <c r="DQ127" s="47"/>
      <c r="DR127" s="47"/>
      <c r="DS127" s="47"/>
      <c r="DT127" s="47"/>
      <c r="DU127" s="47"/>
      <c r="DV127" s="47"/>
      <c r="DW127" s="198"/>
      <c r="DX127" s="47"/>
      <c r="DY127" s="194"/>
      <c r="DZ127" s="47"/>
      <c r="EA127" s="47"/>
      <c r="EB127" s="194"/>
      <c r="EC127" s="47"/>
      <c r="ED127" s="195"/>
      <c r="EE127" s="195"/>
      <c r="EF127" s="195"/>
      <c r="EG127" s="195"/>
      <c r="EH127" s="195">
        <v>7</v>
      </c>
      <c r="EI127" s="196">
        <f t="shared" si="8"/>
        <v>235.20000000000002</v>
      </c>
      <c r="EJ127" s="201">
        <f t="shared" si="9"/>
        <v>42.672000000000004</v>
      </c>
      <c r="EK127" s="202">
        <v>0</v>
      </c>
      <c r="FA127" s="251">
        <f t="shared" si="6"/>
        <v>33.6</v>
      </c>
    </row>
    <row r="128" spans="1:157" s="1" customFormat="1" ht="20.149999999999999" customHeight="1" x14ac:dyDescent="0.35">
      <c r="A128" s="2"/>
      <c r="B128" s="189" t="s">
        <v>899</v>
      </c>
      <c r="C128" s="47" t="s">
        <v>193</v>
      </c>
      <c r="D128" s="2" t="s">
        <v>770</v>
      </c>
      <c r="E128" s="48" t="s">
        <v>327</v>
      </c>
      <c r="F128" s="48" t="s">
        <v>73</v>
      </c>
      <c r="G128" s="48" t="s">
        <v>37</v>
      </c>
      <c r="H128" s="328">
        <v>11.7</v>
      </c>
      <c r="I128" s="47"/>
      <c r="J128" s="47"/>
      <c r="K128" s="47"/>
      <c r="L128" s="47"/>
      <c r="M128" s="47"/>
      <c r="N128" s="194"/>
      <c r="O128" s="194"/>
      <c r="P128" s="194"/>
      <c r="Q128" s="194"/>
      <c r="R128" s="47"/>
      <c r="S128" s="194"/>
      <c r="T128" s="47"/>
      <c r="U128" s="194"/>
      <c r="V128" s="47"/>
      <c r="W128" s="194"/>
      <c r="X128" s="47">
        <v>17</v>
      </c>
      <c r="Y128" s="194"/>
      <c r="Z128" s="194"/>
      <c r="AA128" s="47"/>
      <c r="AB128" s="47"/>
      <c r="AC128" s="47"/>
      <c r="AD128" s="47"/>
      <c r="AE128" s="194"/>
      <c r="AF128" s="194"/>
      <c r="AG128" s="194"/>
      <c r="AI128" s="47"/>
      <c r="AJ128" s="223"/>
      <c r="AK128" s="47"/>
      <c r="AL128" s="47"/>
      <c r="AM128" s="47"/>
      <c r="AN128" s="47"/>
      <c r="AO128" s="47"/>
      <c r="AP128" s="194"/>
      <c r="AQ128" s="47"/>
      <c r="AR128" s="47"/>
      <c r="AS128" s="47"/>
      <c r="AT128" s="194"/>
      <c r="AU128" s="194"/>
      <c r="AV128" s="194"/>
      <c r="AW128" s="194"/>
      <c r="AX128" s="194"/>
      <c r="AY128" s="194"/>
      <c r="AZ128" s="194"/>
      <c r="BA128" s="194"/>
      <c r="BB128" s="194"/>
      <c r="BC128" s="194"/>
      <c r="BD128" s="194"/>
      <c r="BE128" s="194"/>
      <c r="BF128" s="194"/>
      <c r="BG128" s="194"/>
      <c r="BH128" s="194"/>
      <c r="BI128" s="194"/>
      <c r="BJ128" s="194"/>
      <c r="BK128" s="194"/>
      <c r="BL128" s="194"/>
      <c r="BM128" s="194"/>
      <c r="BN128" s="194"/>
      <c r="BO128" s="194"/>
      <c r="BP128" s="194"/>
      <c r="BQ128" s="47"/>
      <c r="BR128" s="194"/>
      <c r="BS128" s="47"/>
      <c r="BT128" s="47">
        <v>17.5</v>
      </c>
      <c r="BU128" s="47"/>
      <c r="BV128" s="47"/>
      <c r="BW128" s="47"/>
      <c r="BX128" s="194"/>
      <c r="BY128" s="194"/>
      <c r="BZ128" s="194"/>
      <c r="CA128" s="194"/>
      <c r="CB128" s="194"/>
      <c r="CC128" s="47"/>
      <c r="CD128" s="47"/>
      <c r="CE128" s="47"/>
      <c r="CF128" s="47"/>
      <c r="CG128" s="47"/>
      <c r="CH128" s="47"/>
      <c r="CI128" s="47"/>
      <c r="CJ128" s="47"/>
      <c r="CK128" s="224"/>
      <c r="CL128" s="194"/>
      <c r="CM128" s="47"/>
      <c r="CN128" s="47"/>
      <c r="CO128" s="47"/>
      <c r="CP128" s="47"/>
      <c r="CQ128" s="47"/>
      <c r="CR128" s="47"/>
      <c r="CS128" s="47"/>
      <c r="CT128" s="47"/>
      <c r="CU128" s="47"/>
      <c r="CV128" s="47"/>
      <c r="CW128" s="47"/>
      <c r="CX128" s="194"/>
      <c r="CY128" s="47"/>
      <c r="CZ128" s="47"/>
      <c r="DA128" s="47"/>
      <c r="DB128" s="47"/>
      <c r="DC128" s="47"/>
      <c r="DD128" s="47"/>
      <c r="DE128" s="47"/>
      <c r="DF128" s="47"/>
      <c r="DG128" s="47"/>
      <c r="DH128" s="47"/>
      <c r="DI128" s="47"/>
      <c r="DJ128" s="47">
        <v>14</v>
      </c>
      <c r="DK128" s="47"/>
      <c r="DL128" s="47"/>
      <c r="DM128" s="47"/>
      <c r="DN128" s="47"/>
      <c r="DO128" s="47"/>
      <c r="DP128" s="47"/>
      <c r="DQ128" s="47"/>
      <c r="DR128" s="47"/>
      <c r="DS128" s="47"/>
      <c r="DT128" s="47"/>
      <c r="DU128" s="47"/>
      <c r="DV128" s="47"/>
      <c r="DW128" s="198"/>
      <c r="DX128" s="47"/>
      <c r="DY128" s="194"/>
      <c r="DZ128" s="47"/>
      <c r="EA128" s="47"/>
      <c r="EB128" s="194"/>
      <c r="EC128" s="47"/>
      <c r="ED128" s="195"/>
      <c r="EE128" s="195"/>
      <c r="EF128" s="195"/>
      <c r="EG128" s="195"/>
      <c r="EH128" s="195">
        <v>7</v>
      </c>
      <c r="EI128" s="196">
        <f t="shared" si="8"/>
        <v>81.899999999999991</v>
      </c>
      <c r="EJ128" s="201">
        <f t="shared" si="9"/>
        <v>14.859</v>
      </c>
      <c r="EK128" s="202">
        <f t="shared" si="10"/>
        <v>16.166666666666668</v>
      </c>
      <c r="FA128" s="251">
        <f t="shared" si="6"/>
        <v>11.7</v>
      </c>
    </row>
    <row r="129" spans="1:157" s="1" customFormat="1" ht="20.149999999999999" customHeight="1" x14ac:dyDescent="0.35">
      <c r="A129" s="2"/>
      <c r="B129" s="189" t="s">
        <v>900</v>
      </c>
      <c r="C129" s="47" t="s">
        <v>193</v>
      </c>
      <c r="D129" s="2" t="s">
        <v>770</v>
      </c>
      <c r="E129" s="2" t="s">
        <v>902</v>
      </c>
      <c r="F129" s="48" t="s">
        <v>901</v>
      </c>
      <c r="G129" s="48" t="s">
        <v>37</v>
      </c>
      <c r="H129" s="328">
        <v>40</v>
      </c>
      <c r="I129" s="47"/>
      <c r="J129" s="47"/>
      <c r="K129" s="47"/>
      <c r="L129" s="47"/>
      <c r="M129" s="47"/>
      <c r="N129" s="194"/>
      <c r="O129" s="194"/>
      <c r="P129" s="194"/>
      <c r="Q129" s="194"/>
      <c r="R129" s="47"/>
      <c r="S129" s="194"/>
      <c r="T129" s="47"/>
      <c r="U129" s="194"/>
      <c r="V129" s="47"/>
      <c r="W129" s="194"/>
      <c r="X129" s="47"/>
      <c r="Y129" s="194"/>
      <c r="Z129" s="194"/>
      <c r="AA129" s="47"/>
      <c r="AB129" s="47"/>
      <c r="AC129" s="47"/>
      <c r="AD129" s="47"/>
      <c r="AE129" s="194"/>
      <c r="AF129" s="194"/>
      <c r="AG129" s="194"/>
      <c r="AI129" s="47"/>
      <c r="AJ129" s="223"/>
      <c r="AK129" s="47"/>
      <c r="AL129" s="47"/>
      <c r="AM129" s="47"/>
      <c r="AN129" s="47"/>
      <c r="AO129" s="47"/>
      <c r="AP129" s="194"/>
      <c r="AQ129" s="47"/>
      <c r="AR129" s="47"/>
      <c r="AS129" s="47"/>
      <c r="AT129" s="194"/>
      <c r="AU129" s="194"/>
      <c r="AV129" s="194"/>
      <c r="AW129" s="194"/>
      <c r="AX129" s="194"/>
      <c r="AY129" s="194"/>
      <c r="AZ129" s="194"/>
      <c r="BA129" s="194"/>
      <c r="BB129" s="194"/>
      <c r="BC129" s="194"/>
      <c r="BD129" s="194"/>
      <c r="BE129" s="194"/>
      <c r="BF129" s="194"/>
      <c r="BG129" s="194"/>
      <c r="BH129" s="194"/>
      <c r="BI129" s="194"/>
      <c r="BJ129" s="194"/>
      <c r="BK129" s="194"/>
      <c r="BL129" s="194"/>
      <c r="BM129" s="194"/>
      <c r="BN129" s="194"/>
      <c r="BO129" s="194"/>
      <c r="BP129" s="194"/>
      <c r="BQ129" s="47"/>
      <c r="BR129" s="194"/>
      <c r="BS129" s="47"/>
      <c r="BT129" s="47"/>
      <c r="BU129" s="47"/>
      <c r="BV129" s="47"/>
      <c r="BW129" s="47"/>
      <c r="BX129" s="194"/>
      <c r="BY129" s="194"/>
      <c r="BZ129" s="194"/>
      <c r="CA129" s="194"/>
      <c r="CB129" s="194"/>
      <c r="CC129" s="47"/>
      <c r="CD129" s="47"/>
      <c r="CE129" s="47"/>
      <c r="CF129" s="47"/>
      <c r="CG129" s="47"/>
      <c r="CH129" s="47"/>
      <c r="CI129" s="47"/>
      <c r="CJ129" s="47"/>
      <c r="CK129" s="224"/>
      <c r="CL129" s="194"/>
      <c r="CM129" s="47"/>
      <c r="CN129" s="47"/>
      <c r="CO129" s="47"/>
      <c r="CP129" s="47"/>
      <c r="CQ129" s="47"/>
      <c r="CR129" s="47"/>
      <c r="CS129" s="47"/>
      <c r="CT129" s="47"/>
      <c r="CU129" s="47"/>
      <c r="CV129" s="47"/>
      <c r="CW129" s="47"/>
      <c r="CX129" s="194"/>
      <c r="CY129" s="47"/>
      <c r="CZ129" s="47"/>
      <c r="DA129" s="47"/>
      <c r="DB129" s="47"/>
      <c r="DC129" s="47"/>
      <c r="DD129" s="47"/>
      <c r="DE129" s="47"/>
      <c r="DF129" s="47"/>
      <c r="DG129" s="47"/>
      <c r="DH129" s="47"/>
      <c r="DI129" s="47"/>
      <c r="DJ129" s="47"/>
      <c r="DK129" s="47"/>
      <c r="DL129" s="47"/>
      <c r="DM129" s="47"/>
      <c r="DN129" s="47"/>
      <c r="DO129" s="47"/>
      <c r="DP129" s="47"/>
      <c r="DQ129" s="47"/>
      <c r="DR129" s="47"/>
      <c r="DS129" s="47"/>
      <c r="DT129" s="47"/>
      <c r="DU129" s="47"/>
      <c r="DV129" s="47"/>
      <c r="DW129" s="198"/>
      <c r="DX129" s="47"/>
      <c r="DY129" s="194"/>
      <c r="DZ129" s="47"/>
      <c r="EA129" s="47"/>
      <c r="EB129" s="194"/>
      <c r="EC129" s="47"/>
      <c r="ED129" s="195"/>
      <c r="EE129" s="195"/>
      <c r="EF129" s="195"/>
      <c r="EG129" s="195"/>
      <c r="EH129" s="195"/>
      <c r="EI129" s="196">
        <f t="shared" si="8"/>
        <v>0</v>
      </c>
      <c r="EJ129" s="201">
        <f t="shared" si="9"/>
        <v>50.8</v>
      </c>
      <c r="EK129" s="202">
        <v>0</v>
      </c>
      <c r="FA129" s="251">
        <f t="shared" si="6"/>
        <v>40</v>
      </c>
    </row>
    <row r="130" spans="1:157" s="1" customFormat="1" ht="20.149999999999999" customHeight="1" x14ac:dyDescent="0.35">
      <c r="A130" s="2"/>
      <c r="B130" s="189" t="s">
        <v>903</v>
      </c>
      <c r="C130" s="47" t="s">
        <v>193</v>
      </c>
      <c r="D130" s="2" t="s">
        <v>770</v>
      </c>
      <c r="E130" s="2" t="s">
        <v>800</v>
      </c>
      <c r="F130" s="48" t="s">
        <v>73</v>
      </c>
      <c r="G130" s="48" t="s">
        <v>37</v>
      </c>
      <c r="H130" s="328">
        <f>H129/25*5</f>
        <v>8</v>
      </c>
      <c r="I130" s="47"/>
      <c r="J130" s="47"/>
      <c r="K130" s="47"/>
      <c r="L130" s="47"/>
      <c r="M130" s="47"/>
      <c r="N130" s="194"/>
      <c r="O130" s="194"/>
      <c r="P130" s="194"/>
      <c r="Q130" s="194"/>
      <c r="R130" s="47"/>
      <c r="S130" s="194"/>
      <c r="T130" s="47"/>
      <c r="U130" s="194"/>
      <c r="V130" s="47"/>
      <c r="W130" s="194"/>
      <c r="X130" s="47"/>
      <c r="Y130" s="194"/>
      <c r="Z130" s="194"/>
      <c r="AA130" s="47"/>
      <c r="AB130" s="47"/>
      <c r="AC130" s="47"/>
      <c r="AD130" s="47"/>
      <c r="AE130" s="194"/>
      <c r="AF130" s="194"/>
      <c r="AG130" s="194"/>
      <c r="AI130" s="47"/>
      <c r="AJ130" s="223"/>
      <c r="AK130" s="47"/>
      <c r="AL130" s="47">
        <v>15</v>
      </c>
      <c r="AM130" s="47"/>
      <c r="AN130" s="47"/>
      <c r="AO130" s="47"/>
      <c r="AP130" s="194"/>
      <c r="AQ130" s="47"/>
      <c r="AR130" s="47">
        <v>15</v>
      </c>
      <c r="AS130" s="47"/>
      <c r="AT130" s="194">
        <v>15</v>
      </c>
      <c r="AU130" s="194"/>
      <c r="AV130" s="194"/>
      <c r="AW130" s="194"/>
      <c r="AX130" s="194"/>
      <c r="AY130" s="194">
        <v>15</v>
      </c>
      <c r="AZ130" s="194"/>
      <c r="BA130" s="194"/>
      <c r="BB130" s="194"/>
      <c r="BC130" s="194"/>
      <c r="BD130" s="194"/>
      <c r="BE130" s="194"/>
      <c r="BF130" s="194"/>
      <c r="BG130" s="194"/>
      <c r="BH130" s="194"/>
      <c r="BI130" s="194"/>
      <c r="BJ130" s="194"/>
      <c r="BK130" s="194"/>
      <c r="BL130" s="194">
        <v>15</v>
      </c>
      <c r="BM130" s="194"/>
      <c r="BN130" s="194"/>
      <c r="BO130" s="194"/>
      <c r="BP130" s="194"/>
      <c r="BQ130" s="47"/>
      <c r="BR130" s="194"/>
      <c r="BS130" s="47">
        <v>15</v>
      </c>
      <c r="BT130" s="47"/>
      <c r="BU130" s="47"/>
      <c r="BV130" s="47"/>
      <c r="BW130" s="47"/>
      <c r="BX130" s="194">
        <v>15</v>
      </c>
      <c r="BY130" s="194"/>
      <c r="BZ130" s="194"/>
      <c r="CA130" s="194"/>
      <c r="CB130" s="194"/>
      <c r="CC130" s="47"/>
      <c r="CD130" s="47"/>
      <c r="CE130" s="47"/>
      <c r="CF130" s="47"/>
      <c r="CG130" s="47"/>
      <c r="CH130" s="47"/>
      <c r="CI130" s="47"/>
      <c r="CJ130" s="47"/>
      <c r="CK130" s="224"/>
      <c r="CL130" s="194"/>
      <c r="CM130" s="47"/>
      <c r="CN130" s="47"/>
      <c r="CO130" s="47"/>
      <c r="CP130" s="47">
        <v>13</v>
      </c>
      <c r="CQ130" s="47"/>
      <c r="CR130" s="47"/>
      <c r="CS130" s="47">
        <v>15</v>
      </c>
      <c r="CT130" s="47"/>
      <c r="CU130" s="47"/>
      <c r="CV130" s="47"/>
      <c r="CW130" s="47"/>
      <c r="CX130" s="194">
        <v>15</v>
      </c>
      <c r="CY130" s="47"/>
      <c r="CZ130" s="47">
        <v>15</v>
      </c>
      <c r="DA130" s="47"/>
      <c r="DB130" s="47"/>
      <c r="DC130" s="47"/>
      <c r="DD130" s="47"/>
      <c r="DE130" s="47"/>
      <c r="DF130" s="47"/>
      <c r="DG130" s="47"/>
      <c r="DH130" s="47"/>
      <c r="DI130" s="47"/>
      <c r="DJ130" s="47"/>
      <c r="DK130" s="47"/>
      <c r="DL130" s="47"/>
      <c r="DM130" s="47"/>
      <c r="DN130" s="47"/>
      <c r="DO130" s="47"/>
      <c r="DP130" s="47"/>
      <c r="DQ130" s="47"/>
      <c r="DR130" s="47"/>
      <c r="DS130" s="47"/>
      <c r="DT130" s="47"/>
      <c r="DU130" s="47"/>
      <c r="DV130" s="47"/>
      <c r="DW130" s="198"/>
      <c r="DX130" s="198"/>
      <c r="DY130" s="194"/>
      <c r="DZ130" s="47"/>
      <c r="EA130" s="47"/>
      <c r="EB130" s="194"/>
      <c r="EC130" s="47"/>
      <c r="ED130" s="195"/>
      <c r="EE130" s="195"/>
      <c r="EF130" s="195"/>
      <c r="EG130" s="195"/>
      <c r="EH130" s="195">
        <v>20</v>
      </c>
      <c r="EI130" s="196">
        <f t="shared" si="8"/>
        <v>160</v>
      </c>
      <c r="EJ130" s="201">
        <f t="shared" si="9"/>
        <v>10.16</v>
      </c>
      <c r="EK130" s="202">
        <f t="shared" si="10"/>
        <v>14.818181818181818</v>
      </c>
      <c r="FA130" s="251">
        <f t="shared" si="6"/>
        <v>8</v>
      </c>
    </row>
    <row r="131" spans="1:157" s="1" customFormat="1" ht="20.149999999999999" customHeight="1" x14ac:dyDescent="0.35">
      <c r="A131" s="2"/>
      <c r="B131" s="189" t="s">
        <v>1152</v>
      </c>
      <c r="C131" s="47" t="s">
        <v>193</v>
      </c>
      <c r="D131" s="2" t="s">
        <v>770</v>
      </c>
      <c r="E131" s="2" t="s">
        <v>800</v>
      </c>
      <c r="F131" s="48" t="s">
        <v>592</v>
      </c>
      <c r="G131" s="48" t="s">
        <v>37</v>
      </c>
      <c r="H131" s="57">
        <f>49/25*3*1.08</f>
        <v>6.3504000000000005</v>
      </c>
      <c r="I131" s="47"/>
      <c r="J131" s="47"/>
      <c r="K131" s="47"/>
      <c r="L131" s="47"/>
      <c r="M131" s="47"/>
      <c r="N131" s="194"/>
      <c r="O131" s="194"/>
      <c r="P131" s="194"/>
      <c r="Q131" s="194"/>
      <c r="R131" s="47"/>
      <c r="S131" s="194"/>
      <c r="T131" s="47"/>
      <c r="U131" s="194"/>
      <c r="V131" s="47"/>
      <c r="W131" s="194"/>
      <c r="X131" s="47"/>
      <c r="Y131" s="194"/>
      <c r="Z131" s="194"/>
      <c r="AA131" s="47"/>
      <c r="AB131" s="47"/>
      <c r="AC131" s="47"/>
      <c r="AD131" s="47"/>
      <c r="AE131" s="194"/>
      <c r="AF131" s="194"/>
      <c r="AG131" s="194"/>
      <c r="AI131" s="47"/>
      <c r="AJ131" s="223"/>
      <c r="AK131" s="47"/>
      <c r="AL131" s="47"/>
      <c r="AM131" s="47"/>
      <c r="AN131" s="47"/>
      <c r="AO131" s="47"/>
      <c r="AP131" s="194"/>
      <c r="AQ131" s="47"/>
      <c r="AR131" s="47"/>
      <c r="AS131" s="47"/>
      <c r="AT131" s="194"/>
      <c r="AU131" s="194"/>
      <c r="AV131" s="194"/>
      <c r="AW131" s="194"/>
      <c r="AX131" s="194"/>
      <c r="AY131" s="194"/>
      <c r="AZ131" s="194"/>
      <c r="BA131" s="194"/>
      <c r="BB131" s="194"/>
      <c r="BC131" s="194"/>
      <c r="BD131" s="194"/>
      <c r="BE131" s="194"/>
      <c r="BF131" s="194"/>
      <c r="BG131" s="194"/>
      <c r="BH131" s="194"/>
      <c r="BI131" s="194"/>
      <c r="BJ131" s="194"/>
      <c r="BK131" s="194"/>
      <c r="BL131" s="194"/>
      <c r="BM131" s="194"/>
      <c r="BN131" s="194"/>
      <c r="BO131" s="194"/>
      <c r="BP131" s="194"/>
      <c r="BQ131" s="47"/>
      <c r="BR131" s="194"/>
      <c r="BS131" s="47"/>
      <c r="BT131" s="47"/>
      <c r="BU131" s="47"/>
      <c r="BV131" s="47"/>
      <c r="BW131" s="47"/>
      <c r="BX131" s="194"/>
      <c r="BY131" s="194"/>
      <c r="BZ131" s="194"/>
      <c r="CA131" s="194"/>
      <c r="CB131" s="194"/>
      <c r="CC131" s="47"/>
      <c r="CD131" s="47"/>
      <c r="CE131" s="47"/>
      <c r="CF131" s="47"/>
      <c r="CG131" s="47"/>
      <c r="CH131" s="47"/>
      <c r="CI131" s="47"/>
      <c r="CJ131" s="47"/>
      <c r="CK131" s="224"/>
      <c r="CL131" s="194"/>
      <c r="CM131" s="47"/>
      <c r="CN131" s="47"/>
      <c r="CO131" s="47"/>
      <c r="CP131" s="47"/>
      <c r="CQ131" s="47"/>
      <c r="CR131" s="47"/>
      <c r="CS131" s="47"/>
      <c r="CT131" s="47"/>
      <c r="CU131" s="47"/>
      <c r="CV131" s="47">
        <v>10</v>
      </c>
      <c r="CW131" s="47"/>
      <c r="CX131" s="194"/>
      <c r="CY131" s="47"/>
      <c r="CZ131" s="47"/>
      <c r="DA131" s="47"/>
      <c r="DB131" s="47"/>
      <c r="DC131" s="47"/>
      <c r="DD131" s="47"/>
      <c r="DE131" s="47"/>
      <c r="DF131" s="47"/>
      <c r="DG131" s="47"/>
      <c r="DH131" s="47"/>
      <c r="DI131" s="47"/>
      <c r="DJ131" s="47"/>
      <c r="DK131" s="47"/>
      <c r="DL131" s="47"/>
      <c r="DM131" s="47"/>
      <c r="DN131" s="47"/>
      <c r="DO131" s="47"/>
      <c r="DP131" s="47"/>
      <c r="DQ131" s="47"/>
      <c r="DR131" s="47"/>
      <c r="DS131" s="47"/>
      <c r="DT131" s="47"/>
      <c r="DU131" s="47"/>
      <c r="DV131" s="47"/>
      <c r="DW131" s="198"/>
      <c r="DX131" s="198"/>
      <c r="DY131" s="194"/>
      <c r="DZ131" s="47"/>
      <c r="EA131" s="47"/>
      <c r="EB131" s="194"/>
      <c r="EC131" s="47"/>
      <c r="ED131" s="195"/>
      <c r="EE131" s="195"/>
      <c r="EF131" s="195"/>
      <c r="EG131" s="195"/>
      <c r="EH131" s="195"/>
      <c r="EI131" s="196"/>
      <c r="EJ131" s="201">
        <f t="shared" si="9"/>
        <v>8.0650080000000006</v>
      </c>
      <c r="EK131" s="202">
        <f t="shared" si="10"/>
        <v>10</v>
      </c>
      <c r="FA131" s="251">
        <f t="shared" si="6"/>
        <v>6.3504000000000005</v>
      </c>
    </row>
    <row r="132" spans="1:157" s="1" customFormat="1" ht="20.149999999999999" customHeight="1" x14ac:dyDescent="0.35">
      <c r="A132" s="2"/>
      <c r="B132" s="189" t="s">
        <v>1195</v>
      </c>
      <c r="C132" s="47" t="s">
        <v>193</v>
      </c>
      <c r="D132" s="2" t="s">
        <v>770</v>
      </c>
      <c r="E132" s="2" t="s">
        <v>800</v>
      </c>
      <c r="F132" s="48" t="s">
        <v>31</v>
      </c>
      <c r="G132" s="48" t="s">
        <v>37</v>
      </c>
      <c r="H132" s="57">
        <v>1.6</v>
      </c>
      <c r="I132" s="47"/>
      <c r="J132" s="47"/>
      <c r="K132" s="47"/>
      <c r="L132" s="47"/>
      <c r="M132" s="47"/>
      <c r="N132" s="194"/>
      <c r="O132" s="194"/>
      <c r="P132" s="194"/>
      <c r="Q132" s="194"/>
      <c r="R132" s="47"/>
      <c r="S132" s="194"/>
      <c r="T132" s="47"/>
      <c r="U132" s="194"/>
      <c r="V132" s="47"/>
      <c r="W132" s="194"/>
      <c r="X132" s="47"/>
      <c r="Y132" s="194"/>
      <c r="Z132" s="194"/>
      <c r="AA132" s="47"/>
      <c r="AB132" s="47"/>
      <c r="AC132" s="47"/>
      <c r="AD132" s="47"/>
      <c r="AE132" s="194"/>
      <c r="AF132" s="194"/>
      <c r="AG132" s="194"/>
      <c r="AI132" s="47"/>
      <c r="AJ132" s="223"/>
      <c r="AK132" s="47"/>
      <c r="AL132" s="47"/>
      <c r="AM132" s="47"/>
      <c r="AN132" s="47"/>
      <c r="AO132" s="47"/>
      <c r="AP132" s="194"/>
      <c r="AQ132" s="47"/>
      <c r="AR132" s="47"/>
      <c r="AS132" s="47"/>
      <c r="AT132" s="194"/>
      <c r="AU132" s="194"/>
      <c r="AV132" s="194"/>
      <c r="AW132" s="194"/>
      <c r="AX132" s="194"/>
      <c r="AY132" s="194"/>
      <c r="AZ132" s="194"/>
      <c r="BA132" s="194"/>
      <c r="BB132" s="194"/>
      <c r="BC132" s="194"/>
      <c r="BD132" s="194"/>
      <c r="BE132" s="194"/>
      <c r="BF132" s="194"/>
      <c r="BG132" s="194"/>
      <c r="BH132" s="194"/>
      <c r="BI132" s="194"/>
      <c r="BJ132" s="194"/>
      <c r="BK132" s="194"/>
      <c r="BL132" s="194"/>
      <c r="BM132" s="194"/>
      <c r="BN132" s="194"/>
      <c r="BO132" s="194"/>
      <c r="BP132" s="194"/>
      <c r="BQ132" s="47"/>
      <c r="BR132" s="194"/>
      <c r="BS132" s="47"/>
      <c r="BT132" s="47"/>
      <c r="BU132" s="47"/>
      <c r="BV132" s="47"/>
      <c r="BW132" s="47"/>
      <c r="BX132" s="194"/>
      <c r="BY132" s="194"/>
      <c r="BZ132" s="194"/>
      <c r="CA132" s="194"/>
      <c r="CB132" s="194"/>
      <c r="CC132" s="47"/>
      <c r="CD132" s="47"/>
      <c r="CE132" s="47"/>
      <c r="CF132" s="47"/>
      <c r="CG132" s="47"/>
      <c r="CH132" s="47"/>
      <c r="CI132" s="47"/>
      <c r="CJ132" s="47"/>
      <c r="CK132" s="224"/>
      <c r="CL132" s="194"/>
      <c r="CM132" s="47"/>
      <c r="CN132" s="47"/>
      <c r="CO132" s="47"/>
      <c r="CP132" s="47"/>
      <c r="CQ132" s="47"/>
      <c r="CR132" s="47"/>
      <c r="CS132" s="47">
        <v>3</v>
      </c>
      <c r="CT132" s="47"/>
      <c r="CU132" s="47"/>
      <c r="CV132" s="47"/>
      <c r="CW132" s="47"/>
      <c r="CX132" s="194"/>
      <c r="CY132" s="47"/>
      <c r="CZ132" s="47"/>
      <c r="DA132" s="47"/>
      <c r="DB132" s="47"/>
      <c r="DC132" s="47"/>
      <c r="DD132" s="47"/>
      <c r="DE132" s="47"/>
      <c r="DF132" s="47"/>
      <c r="DG132" s="47"/>
      <c r="DH132" s="47"/>
      <c r="DI132" s="47"/>
      <c r="DJ132" s="47"/>
      <c r="DK132" s="47"/>
      <c r="DL132" s="47"/>
      <c r="DM132" s="47"/>
      <c r="DN132" s="47"/>
      <c r="DO132" s="47"/>
      <c r="DP132" s="47"/>
      <c r="DQ132" s="47"/>
      <c r="DR132" s="47"/>
      <c r="DS132" s="47"/>
      <c r="DT132" s="47"/>
      <c r="DU132" s="47">
        <v>1.6</v>
      </c>
      <c r="DV132" s="47"/>
      <c r="DW132" s="198"/>
      <c r="DX132" s="198"/>
      <c r="DY132" s="194"/>
      <c r="DZ132" s="47"/>
      <c r="EA132" s="47"/>
      <c r="EB132" s="194"/>
      <c r="EC132" s="47"/>
      <c r="ED132" s="195"/>
      <c r="EE132" s="195"/>
      <c r="EF132" s="195"/>
      <c r="EG132" s="195"/>
      <c r="EH132" s="195"/>
      <c r="EI132" s="196"/>
      <c r="EJ132" s="201"/>
      <c r="EK132" s="202"/>
      <c r="FA132" s="251">
        <f t="shared" si="6"/>
        <v>1.6</v>
      </c>
    </row>
    <row r="133" spans="1:157" s="1" customFormat="1" ht="20.149999999999999" customHeight="1" x14ac:dyDescent="0.35">
      <c r="A133" s="47"/>
      <c r="B133" s="189" t="s">
        <v>904</v>
      </c>
      <c r="C133" s="47" t="s">
        <v>724</v>
      </c>
      <c r="D133" s="48"/>
      <c r="E133" s="2"/>
      <c r="F133" s="48" t="s">
        <v>573</v>
      </c>
      <c r="G133" s="48" t="s">
        <v>37</v>
      </c>
      <c r="H133" s="57"/>
      <c r="I133" s="47"/>
      <c r="J133" s="47"/>
      <c r="K133" s="47"/>
      <c r="L133" s="47"/>
      <c r="M133" s="47"/>
      <c r="N133" s="194"/>
      <c r="O133" s="194"/>
      <c r="P133" s="194"/>
      <c r="Q133" s="194"/>
      <c r="R133" s="47"/>
      <c r="S133" s="194"/>
      <c r="T133" s="47"/>
      <c r="U133" s="194"/>
      <c r="V133" s="47"/>
      <c r="W133" s="194"/>
      <c r="X133" s="47"/>
      <c r="Y133" s="194"/>
      <c r="Z133" s="194"/>
      <c r="AA133" s="47"/>
      <c r="AB133" s="47"/>
      <c r="AC133" s="47"/>
      <c r="AD133" s="47"/>
      <c r="AE133" s="194"/>
      <c r="AF133" s="194"/>
      <c r="AG133" s="194"/>
      <c r="AI133" s="47"/>
      <c r="AJ133" s="223"/>
      <c r="AK133" s="47"/>
      <c r="AL133" s="47"/>
      <c r="AM133" s="47"/>
      <c r="AN133" s="47"/>
      <c r="AO133" s="47"/>
      <c r="AP133" s="194"/>
      <c r="AQ133" s="47"/>
      <c r="AR133" s="47"/>
      <c r="AS133" s="47"/>
      <c r="AT133" s="194"/>
      <c r="AU133" s="194"/>
      <c r="AV133" s="194"/>
      <c r="AW133" s="194"/>
      <c r="AX133" s="194"/>
      <c r="AY133" s="194"/>
      <c r="AZ133" s="194"/>
      <c r="BA133" s="194"/>
      <c r="BB133" s="194"/>
      <c r="BC133" s="194"/>
      <c r="BD133" s="194"/>
      <c r="BE133" s="194"/>
      <c r="BF133" s="194"/>
      <c r="BG133" s="194"/>
      <c r="BH133" s="194"/>
      <c r="BI133" s="194"/>
      <c r="BJ133" s="194"/>
      <c r="BK133" s="194"/>
      <c r="BL133" s="194"/>
      <c r="BM133" s="194"/>
      <c r="BN133" s="194"/>
      <c r="BO133" s="194"/>
      <c r="BP133" s="194"/>
      <c r="BQ133" s="47"/>
      <c r="BR133" s="194"/>
      <c r="BS133" s="47"/>
      <c r="BT133" s="47"/>
      <c r="BU133" s="47"/>
      <c r="BV133" s="47"/>
      <c r="BW133" s="47"/>
      <c r="BX133" s="194"/>
      <c r="BY133" s="194"/>
      <c r="BZ133" s="194"/>
      <c r="CA133" s="194"/>
      <c r="CB133" s="194"/>
      <c r="CC133" s="47"/>
      <c r="CD133" s="47"/>
      <c r="CE133" s="47"/>
      <c r="CF133" s="47"/>
      <c r="CG133" s="47"/>
      <c r="CH133" s="47"/>
      <c r="CI133" s="47"/>
      <c r="CJ133" s="47"/>
      <c r="CK133" s="224"/>
      <c r="CL133" s="194"/>
      <c r="CM133" s="47"/>
      <c r="CN133" s="47"/>
      <c r="CO133" s="47"/>
      <c r="CP133" s="47"/>
      <c r="CQ133" s="47"/>
      <c r="CR133" s="47"/>
      <c r="CS133" s="47"/>
      <c r="CT133" s="47"/>
      <c r="CU133" s="47"/>
      <c r="CV133" s="47"/>
      <c r="CW133" s="47"/>
      <c r="CX133" s="194"/>
      <c r="CY133" s="47"/>
      <c r="CZ133" s="47"/>
      <c r="DA133" s="47"/>
      <c r="DB133" s="47"/>
      <c r="DC133" s="47"/>
      <c r="DD133" s="47"/>
      <c r="DE133" s="47"/>
      <c r="DF133" s="47"/>
      <c r="DG133" s="47"/>
      <c r="DH133" s="47"/>
      <c r="DI133" s="47"/>
      <c r="DJ133" s="47"/>
      <c r="DK133" s="47"/>
      <c r="DL133" s="47"/>
      <c r="DM133" s="47"/>
      <c r="DN133" s="47"/>
      <c r="DO133" s="47"/>
      <c r="DP133" s="47"/>
      <c r="DQ133" s="47"/>
      <c r="DR133" s="47"/>
      <c r="DS133" s="47"/>
      <c r="DT133" s="47"/>
      <c r="DU133" s="47"/>
      <c r="DV133" s="47"/>
      <c r="DW133" s="198"/>
      <c r="DX133" s="47">
        <v>43</v>
      </c>
      <c r="DY133" s="194"/>
      <c r="DZ133" s="47"/>
      <c r="EA133" s="47"/>
      <c r="EB133" s="194"/>
      <c r="EC133" s="47"/>
      <c r="ED133" s="195"/>
      <c r="EE133" s="195"/>
      <c r="EF133" s="195"/>
      <c r="EG133" s="195"/>
      <c r="EH133" s="195"/>
      <c r="EI133" s="196">
        <f t="shared" si="8"/>
        <v>0</v>
      </c>
      <c r="EJ133" s="201">
        <f t="shared" si="9"/>
        <v>0</v>
      </c>
      <c r="EK133" s="202">
        <f t="shared" si="10"/>
        <v>43</v>
      </c>
      <c r="FA133" s="251">
        <f t="shared" si="6"/>
        <v>0</v>
      </c>
    </row>
    <row r="134" spans="1:157" s="1" customFormat="1" ht="20.149999999999999" customHeight="1" x14ac:dyDescent="0.35">
      <c r="A134" s="47"/>
      <c r="B134" s="189" t="s">
        <v>905</v>
      </c>
      <c r="C134" s="47" t="s">
        <v>724</v>
      </c>
      <c r="D134" s="48"/>
      <c r="E134" s="2"/>
      <c r="F134" s="48" t="s">
        <v>725</v>
      </c>
      <c r="G134" s="48" t="s">
        <v>37</v>
      </c>
      <c r="H134" s="57"/>
      <c r="I134" s="47"/>
      <c r="J134" s="47"/>
      <c r="K134" s="47"/>
      <c r="L134" s="47"/>
      <c r="M134" s="47"/>
      <c r="N134" s="194"/>
      <c r="O134" s="194"/>
      <c r="P134" s="194"/>
      <c r="Q134" s="194"/>
      <c r="R134" s="47"/>
      <c r="S134" s="194"/>
      <c r="T134" s="47"/>
      <c r="U134" s="194"/>
      <c r="V134" s="47"/>
      <c r="W134" s="194"/>
      <c r="X134" s="47"/>
      <c r="Y134" s="194"/>
      <c r="Z134" s="194"/>
      <c r="AA134" s="47"/>
      <c r="AB134" s="47"/>
      <c r="AC134" s="47"/>
      <c r="AD134" s="47"/>
      <c r="AE134" s="194"/>
      <c r="AF134" s="194"/>
      <c r="AG134" s="194"/>
      <c r="AI134" s="47"/>
      <c r="AJ134" s="223"/>
      <c r="AK134" s="47"/>
      <c r="AL134" s="47"/>
      <c r="AM134" s="47"/>
      <c r="AN134" s="47"/>
      <c r="AO134" s="47"/>
      <c r="AP134" s="194"/>
      <c r="AQ134" s="47"/>
      <c r="AR134" s="47"/>
      <c r="AS134" s="47"/>
      <c r="AT134" s="194"/>
      <c r="AU134" s="194"/>
      <c r="AV134" s="194"/>
      <c r="AW134" s="194"/>
      <c r="AX134" s="194"/>
      <c r="AY134" s="194"/>
      <c r="AZ134" s="194"/>
      <c r="BA134" s="194"/>
      <c r="BB134" s="194"/>
      <c r="BC134" s="194"/>
      <c r="BD134" s="194"/>
      <c r="BE134" s="194"/>
      <c r="BF134" s="194"/>
      <c r="BG134" s="194"/>
      <c r="BH134" s="194"/>
      <c r="BI134" s="194"/>
      <c r="BJ134" s="194"/>
      <c r="BK134" s="194"/>
      <c r="BL134" s="194"/>
      <c r="BM134" s="194"/>
      <c r="BN134" s="194"/>
      <c r="BO134" s="194"/>
      <c r="BP134" s="194"/>
      <c r="BQ134" s="47"/>
      <c r="BR134" s="194"/>
      <c r="BS134" s="47"/>
      <c r="BT134" s="47"/>
      <c r="BU134" s="47"/>
      <c r="BV134" s="47"/>
      <c r="BW134" s="47"/>
      <c r="BX134" s="194"/>
      <c r="BY134" s="194"/>
      <c r="BZ134" s="194"/>
      <c r="CA134" s="194"/>
      <c r="CB134" s="194"/>
      <c r="CC134" s="47"/>
      <c r="CD134" s="47"/>
      <c r="CE134" s="47"/>
      <c r="CF134" s="47"/>
      <c r="CG134" s="47"/>
      <c r="CH134" s="47"/>
      <c r="CI134" s="47"/>
      <c r="CJ134" s="47"/>
      <c r="CK134" s="224"/>
      <c r="CL134" s="194"/>
      <c r="CM134" s="47"/>
      <c r="CN134" s="47"/>
      <c r="CO134" s="47"/>
      <c r="CP134" s="47"/>
      <c r="CQ134" s="47"/>
      <c r="CR134" s="47"/>
      <c r="CS134" s="47"/>
      <c r="CT134" s="47"/>
      <c r="CU134" s="47"/>
      <c r="CV134" s="47"/>
      <c r="CW134" s="47"/>
      <c r="CX134" s="194"/>
      <c r="CY134" s="47"/>
      <c r="CZ134" s="47"/>
      <c r="DA134" s="47"/>
      <c r="DB134" s="47"/>
      <c r="DC134" s="47"/>
      <c r="DD134" s="47"/>
      <c r="DE134" s="47"/>
      <c r="DF134" s="47"/>
      <c r="DG134" s="47"/>
      <c r="DH134" s="47"/>
      <c r="DI134" s="47"/>
      <c r="DJ134" s="47"/>
      <c r="DK134" s="47"/>
      <c r="DL134" s="47"/>
      <c r="DM134" s="47"/>
      <c r="DN134" s="47"/>
      <c r="DO134" s="47"/>
      <c r="DP134" s="47"/>
      <c r="DQ134" s="47"/>
      <c r="DR134" s="47"/>
      <c r="DS134" s="47"/>
      <c r="DT134" s="47"/>
      <c r="DU134" s="47"/>
      <c r="DV134" s="47"/>
      <c r="DW134" s="198"/>
      <c r="DX134" s="47">
        <v>20</v>
      </c>
      <c r="DY134" s="194"/>
      <c r="DZ134" s="47"/>
      <c r="EA134" s="47"/>
      <c r="EB134" s="194"/>
      <c r="EC134" s="47"/>
      <c r="ED134" s="195"/>
      <c r="EE134" s="195"/>
      <c r="EF134" s="195"/>
      <c r="EG134" s="195"/>
      <c r="EH134" s="195"/>
      <c r="EI134" s="196">
        <f t="shared" si="8"/>
        <v>0</v>
      </c>
      <c r="EJ134" s="201">
        <f t="shared" si="9"/>
        <v>0</v>
      </c>
      <c r="EK134" s="202">
        <f t="shared" si="10"/>
        <v>20</v>
      </c>
      <c r="FA134" s="251">
        <f t="shared" si="6"/>
        <v>0</v>
      </c>
    </row>
    <row r="135" spans="1:157" s="1" customFormat="1" ht="20.149999999999999" customHeight="1" x14ac:dyDescent="0.35">
      <c r="A135" s="47"/>
      <c r="B135" s="189" t="s">
        <v>906</v>
      </c>
      <c r="C135" s="47" t="s">
        <v>622</v>
      </c>
      <c r="D135" s="48"/>
      <c r="E135" s="2" t="s">
        <v>33</v>
      </c>
      <c r="F135" s="48" t="s">
        <v>351</v>
      </c>
      <c r="G135" s="48" t="s">
        <v>570</v>
      </c>
      <c r="H135" s="57"/>
      <c r="I135" s="47"/>
      <c r="J135" s="47"/>
      <c r="K135" s="47"/>
      <c r="L135" s="47"/>
      <c r="M135" s="47"/>
      <c r="N135" s="194"/>
      <c r="O135" s="194"/>
      <c r="P135" s="194"/>
      <c r="Q135" s="194"/>
      <c r="R135" s="47"/>
      <c r="S135" s="194"/>
      <c r="T135" s="47"/>
      <c r="U135" s="194"/>
      <c r="V135" s="47"/>
      <c r="W135" s="194"/>
      <c r="X135" s="47"/>
      <c r="Y135" s="194"/>
      <c r="Z135" s="194"/>
      <c r="AA135" s="47"/>
      <c r="AB135" s="47"/>
      <c r="AC135" s="47"/>
      <c r="AD135" s="47"/>
      <c r="AE135" s="194"/>
      <c r="AF135" s="194"/>
      <c r="AG135" s="194"/>
      <c r="AI135" s="47"/>
      <c r="AJ135" s="223"/>
      <c r="AK135" s="47"/>
      <c r="AL135" s="47"/>
      <c r="AM135" s="47"/>
      <c r="AN135" s="47"/>
      <c r="AO135" s="47"/>
      <c r="AP135" s="194"/>
      <c r="AQ135" s="47"/>
      <c r="AR135" s="47"/>
      <c r="AS135" s="47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194"/>
      <c r="BL135" s="194"/>
      <c r="BM135" s="194"/>
      <c r="BN135" s="194"/>
      <c r="BO135" s="194"/>
      <c r="BP135" s="194"/>
      <c r="BQ135" s="47"/>
      <c r="BR135" s="194"/>
      <c r="BS135" s="47"/>
      <c r="BT135" s="47"/>
      <c r="BU135" s="47"/>
      <c r="BV135" s="47"/>
      <c r="BW135" s="47"/>
      <c r="BX135" s="194"/>
      <c r="BY135" s="194"/>
      <c r="BZ135" s="194"/>
      <c r="CA135" s="194"/>
      <c r="CB135" s="194"/>
      <c r="CC135" s="47"/>
      <c r="CD135" s="47"/>
      <c r="CE135" s="47"/>
      <c r="CF135" s="47"/>
      <c r="CG135" s="47"/>
      <c r="CH135" s="47"/>
      <c r="CI135" s="47"/>
      <c r="CJ135" s="47"/>
      <c r="CK135" s="224"/>
      <c r="CL135" s="194">
        <v>3</v>
      </c>
      <c r="CM135" s="47"/>
      <c r="CN135" s="47"/>
      <c r="CO135" s="47"/>
      <c r="CP135" s="47"/>
      <c r="CQ135" s="47"/>
      <c r="CR135" s="47"/>
      <c r="CS135" s="47"/>
      <c r="CT135" s="47"/>
      <c r="CU135" s="47"/>
      <c r="CV135" s="47"/>
      <c r="CW135" s="47"/>
      <c r="CX135" s="194"/>
      <c r="CY135" s="47"/>
      <c r="CZ135" s="47"/>
      <c r="DA135" s="47"/>
      <c r="DB135" s="47"/>
      <c r="DC135" s="47"/>
      <c r="DD135" s="47"/>
      <c r="DE135" s="47"/>
      <c r="DF135" s="47"/>
      <c r="DG135" s="47"/>
      <c r="DH135" s="47"/>
      <c r="DI135" s="47"/>
      <c r="DJ135" s="47"/>
      <c r="DK135" s="47"/>
      <c r="DL135" s="47"/>
      <c r="DM135" s="47"/>
      <c r="DN135" s="47"/>
      <c r="DO135" s="47"/>
      <c r="DP135" s="47"/>
      <c r="DQ135" s="47"/>
      <c r="DR135" s="47"/>
      <c r="DS135" s="47"/>
      <c r="DT135" s="47"/>
      <c r="DU135" s="47"/>
      <c r="DV135" s="47"/>
      <c r="DW135" s="198"/>
      <c r="DX135" s="47"/>
      <c r="DY135" s="194"/>
      <c r="DZ135" s="47"/>
      <c r="EA135" s="47"/>
      <c r="EB135" s="194"/>
      <c r="EC135" s="47"/>
      <c r="ED135" s="195"/>
      <c r="EE135" s="195"/>
      <c r="EF135" s="195"/>
      <c r="EG135" s="195"/>
      <c r="EH135" s="195">
        <v>3</v>
      </c>
      <c r="EI135" s="196">
        <f t="shared" si="8"/>
        <v>0</v>
      </c>
      <c r="EJ135" s="201">
        <f t="shared" si="9"/>
        <v>0</v>
      </c>
      <c r="EK135" s="202">
        <f t="shared" si="10"/>
        <v>3</v>
      </c>
      <c r="FA135" s="251">
        <f t="shared" si="6"/>
        <v>0</v>
      </c>
    </row>
    <row r="136" spans="1:157" s="89" customFormat="1" ht="20.149999999999999" customHeight="1" x14ac:dyDescent="0.35">
      <c r="A136" s="47"/>
      <c r="B136" s="189" t="s">
        <v>907</v>
      </c>
      <c r="C136" s="47" t="s">
        <v>209</v>
      </c>
      <c r="D136" s="192"/>
      <c r="E136" s="2" t="s">
        <v>1459</v>
      </c>
      <c r="F136" s="48" t="s">
        <v>562</v>
      </c>
      <c r="G136" s="48" t="s">
        <v>32</v>
      </c>
      <c r="H136" s="335">
        <v>18.600000000000001</v>
      </c>
      <c r="I136" s="47"/>
      <c r="J136" s="47"/>
      <c r="K136" s="47"/>
      <c r="L136" s="47"/>
      <c r="M136" s="47"/>
      <c r="N136" s="194"/>
      <c r="O136" s="194"/>
      <c r="P136" s="194"/>
      <c r="Q136" s="194"/>
      <c r="R136" s="47"/>
      <c r="S136" s="194"/>
      <c r="T136" s="47"/>
      <c r="U136" s="194"/>
      <c r="V136" s="47"/>
      <c r="W136" s="194">
        <v>26</v>
      </c>
      <c r="X136" s="47"/>
      <c r="Y136" s="194"/>
      <c r="Z136" s="194"/>
      <c r="AA136" s="47"/>
      <c r="AB136" s="47"/>
      <c r="AC136" s="47"/>
      <c r="AD136" s="47"/>
      <c r="AE136" s="194"/>
      <c r="AF136" s="194"/>
      <c r="AG136" s="194"/>
      <c r="AI136" s="47"/>
      <c r="AJ136" s="226"/>
      <c r="AK136" s="47"/>
      <c r="AL136" s="47"/>
      <c r="AM136" s="47"/>
      <c r="AN136" s="47"/>
      <c r="AO136" s="47"/>
      <c r="AP136" s="194"/>
      <c r="AQ136" s="47"/>
      <c r="AR136" s="47"/>
      <c r="AS136" s="47"/>
      <c r="AT136" s="194"/>
      <c r="AU136" s="194"/>
      <c r="AV136" s="194"/>
      <c r="AW136" s="194"/>
      <c r="AX136" s="194"/>
      <c r="AY136" s="194"/>
      <c r="AZ136" s="194"/>
      <c r="BA136" s="194"/>
      <c r="BB136" s="194"/>
      <c r="BC136" s="194"/>
      <c r="BD136" s="194"/>
      <c r="BE136" s="194"/>
      <c r="BF136" s="194"/>
      <c r="BG136" s="194"/>
      <c r="BH136" s="194"/>
      <c r="BI136" s="194"/>
      <c r="BJ136" s="194"/>
      <c r="BK136" s="194"/>
      <c r="BL136" s="194"/>
      <c r="BM136" s="194"/>
      <c r="BN136" s="194"/>
      <c r="BO136" s="194"/>
      <c r="BP136" s="194"/>
      <c r="BQ136" s="47"/>
      <c r="BR136" s="194"/>
      <c r="BS136" s="47"/>
      <c r="BT136" s="47">
        <v>27</v>
      </c>
      <c r="BU136" s="47"/>
      <c r="BV136" s="47"/>
      <c r="BW136" s="47"/>
      <c r="BX136" s="194"/>
      <c r="BY136" s="194"/>
      <c r="BZ136" s="194"/>
      <c r="CA136" s="194"/>
      <c r="CB136" s="194"/>
      <c r="CC136" s="47"/>
      <c r="CD136" s="47"/>
      <c r="CE136" s="47"/>
      <c r="CF136" s="47"/>
      <c r="CG136" s="47"/>
      <c r="CH136" s="47"/>
      <c r="CI136" s="47"/>
      <c r="CJ136" s="47"/>
      <c r="CK136" s="47"/>
      <c r="CL136" s="194"/>
      <c r="CM136" s="47"/>
      <c r="CN136" s="47"/>
      <c r="CO136" s="47"/>
      <c r="CP136" s="47"/>
      <c r="CQ136" s="47"/>
      <c r="CR136" s="47"/>
      <c r="CS136" s="198">
        <v>22</v>
      </c>
      <c r="CT136" s="47"/>
      <c r="CU136" s="47"/>
      <c r="CV136" s="47"/>
      <c r="CW136" s="47"/>
      <c r="CX136" s="194"/>
      <c r="CY136" s="47"/>
      <c r="CZ136" s="47"/>
      <c r="DA136" s="47"/>
      <c r="DB136" s="47"/>
      <c r="DC136" s="47"/>
      <c r="DD136" s="47"/>
      <c r="DE136" s="47"/>
      <c r="DF136" s="47"/>
      <c r="DG136" s="47"/>
      <c r="DH136" s="47"/>
      <c r="DI136" s="47"/>
      <c r="DJ136" s="47"/>
      <c r="DK136" s="47"/>
      <c r="DL136" s="47"/>
      <c r="DM136" s="47"/>
      <c r="DN136" s="47"/>
      <c r="DO136" s="47"/>
      <c r="DP136" s="47"/>
      <c r="DQ136" s="47"/>
      <c r="DR136" s="47"/>
      <c r="DS136" s="47"/>
      <c r="DT136" s="47"/>
      <c r="DU136" s="47"/>
      <c r="DV136" s="47">
        <v>27</v>
      </c>
      <c r="DW136" s="198"/>
      <c r="DX136" s="47"/>
      <c r="DY136" s="194"/>
      <c r="DZ136" s="47"/>
      <c r="EA136" s="47"/>
      <c r="EB136" s="194"/>
      <c r="EC136" s="47"/>
      <c r="ED136" s="195"/>
      <c r="EE136" s="195"/>
      <c r="EF136" s="195"/>
      <c r="EG136" s="195"/>
      <c r="EH136" s="195">
        <v>3</v>
      </c>
      <c r="EI136" s="196">
        <f t="shared" si="8"/>
        <v>55.800000000000004</v>
      </c>
      <c r="EJ136" s="201">
        <f t="shared" si="9"/>
        <v>23.622000000000003</v>
      </c>
      <c r="EK136" s="202">
        <f t="shared" si="10"/>
        <v>25.5</v>
      </c>
      <c r="FA136" s="251">
        <f t="shared" si="6"/>
        <v>18.600000000000001</v>
      </c>
    </row>
    <row r="137" spans="1:157" s="89" customFormat="1" ht="20.149999999999999" customHeight="1" x14ac:dyDescent="0.35">
      <c r="A137" s="47"/>
      <c r="B137" s="189" t="s">
        <v>909</v>
      </c>
      <c r="C137" s="47" t="s">
        <v>908</v>
      </c>
      <c r="D137" s="192"/>
      <c r="E137" s="2" t="s">
        <v>1459</v>
      </c>
      <c r="F137" s="48" t="s">
        <v>562</v>
      </c>
      <c r="G137" s="48" t="s">
        <v>32</v>
      </c>
      <c r="H137" s="57">
        <v>25.3</v>
      </c>
      <c r="I137" s="47"/>
      <c r="J137" s="47"/>
      <c r="K137" s="47"/>
      <c r="L137" s="47"/>
      <c r="M137" s="47"/>
      <c r="N137" s="194"/>
      <c r="O137" s="194"/>
      <c r="P137" s="194"/>
      <c r="Q137" s="194"/>
      <c r="R137" s="47"/>
      <c r="S137" s="194"/>
      <c r="T137" s="47"/>
      <c r="U137" s="194"/>
      <c r="V137" s="47"/>
      <c r="W137" s="194">
        <v>32</v>
      </c>
      <c r="X137" s="47"/>
      <c r="Y137" s="194"/>
      <c r="Z137" s="194"/>
      <c r="AA137" s="47"/>
      <c r="AB137" s="47"/>
      <c r="AC137" s="47"/>
      <c r="AD137" s="47"/>
      <c r="AE137" s="194"/>
      <c r="AF137" s="194"/>
      <c r="AG137" s="194"/>
      <c r="AI137" s="47"/>
      <c r="AJ137" s="226"/>
      <c r="AK137" s="47"/>
      <c r="AL137" s="47"/>
      <c r="AM137" s="47"/>
      <c r="AN137" s="47"/>
      <c r="AO137" s="47"/>
      <c r="AP137" s="194"/>
      <c r="AQ137" s="47"/>
      <c r="AR137" s="47"/>
      <c r="AS137" s="47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4"/>
      <c r="BM137" s="194"/>
      <c r="BN137" s="194"/>
      <c r="BO137" s="194"/>
      <c r="BP137" s="194"/>
      <c r="BQ137" s="47"/>
      <c r="BR137" s="194"/>
      <c r="BS137" s="47"/>
      <c r="BT137" s="47"/>
      <c r="BU137" s="47"/>
      <c r="BV137" s="47"/>
      <c r="BW137" s="47"/>
      <c r="BX137" s="194"/>
      <c r="BY137" s="194"/>
      <c r="BZ137" s="194"/>
      <c r="CA137" s="194"/>
      <c r="CB137" s="194"/>
      <c r="CC137" s="47"/>
      <c r="CD137" s="47"/>
      <c r="CE137" s="47"/>
      <c r="CF137" s="47"/>
      <c r="CG137" s="47"/>
      <c r="CH137" s="47"/>
      <c r="CI137" s="47"/>
      <c r="CJ137" s="47"/>
      <c r="CK137" s="47"/>
      <c r="CL137" s="194"/>
      <c r="CM137" s="47"/>
      <c r="CN137" s="47"/>
      <c r="CO137" s="47"/>
      <c r="CP137" s="47"/>
      <c r="CQ137" s="47"/>
      <c r="CR137" s="47"/>
      <c r="CS137" s="198"/>
      <c r="CT137" s="47"/>
      <c r="CU137" s="47"/>
      <c r="CV137" s="47"/>
      <c r="CW137" s="47"/>
      <c r="CX137" s="194"/>
      <c r="CY137" s="47"/>
      <c r="CZ137" s="47"/>
      <c r="DA137" s="47"/>
      <c r="DB137" s="47"/>
      <c r="DC137" s="47"/>
      <c r="DD137" s="47"/>
      <c r="DE137" s="47"/>
      <c r="DF137" s="47"/>
      <c r="DG137" s="47"/>
      <c r="DH137" s="47"/>
      <c r="DI137" s="47"/>
      <c r="DJ137" s="47"/>
      <c r="DK137" s="47"/>
      <c r="DL137" s="47"/>
      <c r="DM137" s="47"/>
      <c r="DN137" s="47"/>
      <c r="DO137" s="47"/>
      <c r="DP137" s="47"/>
      <c r="DQ137" s="47"/>
      <c r="DR137" s="47"/>
      <c r="DS137" s="47"/>
      <c r="DT137" s="47"/>
      <c r="DU137" s="47"/>
      <c r="DV137" s="47"/>
      <c r="DW137" s="198"/>
      <c r="DX137" s="47"/>
      <c r="DY137" s="194"/>
      <c r="DZ137" s="47"/>
      <c r="EA137" s="47"/>
      <c r="EB137" s="194"/>
      <c r="EC137" s="47"/>
      <c r="ED137" s="195"/>
      <c r="EE137" s="195"/>
      <c r="EF137" s="195"/>
      <c r="EG137" s="195"/>
      <c r="EH137" s="195"/>
      <c r="EI137" s="196">
        <f t="shared" si="8"/>
        <v>0</v>
      </c>
      <c r="EJ137" s="201">
        <f t="shared" si="9"/>
        <v>32.131</v>
      </c>
      <c r="EK137" s="202">
        <v>0</v>
      </c>
      <c r="FA137" s="251">
        <f t="shared" si="6"/>
        <v>25.3</v>
      </c>
    </row>
    <row r="138" spans="1:157" s="89" customFormat="1" ht="20.149999999999999" customHeight="1" x14ac:dyDescent="0.35">
      <c r="A138" s="47"/>
      <c r="B138" s="189" t="s">
        <v>1461</v>
      </c>
      <c r="C138" s="47" t="s">
        <v>908</v>
      </c>
      <c r="D138" s="192"/>
      <c r="E138" s="2" t="s">
        <v>1459</v>
      </c>
      <c r="F138" s="48" t="s">
        <v>1460</v>
      </c>
      <c r="G138" s="48" t="s">
        <v>91</v>
      </c>
      <c r="H138" s="57">
        <f>H137/20</f>
        <v>1.2650000000000001</v>
      </c>
      <c r="I138" s="47"/>
      <c r="J138" s="47"/>
      <c r="K138" s="47"/>
      <c r="L138" s="47"/>
      <c r="M138" s="47"/>
      <c r="N138" s="194"/>
      <c r="O138" s="194"/>
      <c r="P138" s="194"/>
      <c r="Q138" s="194"/>
      <c r="R138" s="47"/>
      <c r="S138" s="194"/>
      <c r="T138" s="47"/>
      <c r="U138" s="194"/>
      <c r="V138" s="47"/>
      <c r="W138" s="194"/>
      <c r="X138" s="47"/>
      <c r="Y138" s="194"/>
      <c r="Z138" s="194"/>
      <c r="AA138" s="47"/>
      <c r="AB138" s="47"/>
      <c r="AC138" s="47"/>
      <c r="AD138" s="47"/>
      <c r="AE138" s="194"/>
      <c r="AF138" s="194"/>
      <c r="AG138" s="194"/>
      <c r="AI138" s="47"/>
      <c r="AJ138" s="226"/>
      <c r="AK138" s="47"/>
      <c r="AL138" s="47"/>
      <c r="AM138" s="47"/>
      <c r="AN138" s="47"/>
      <c r="AO138" s="47"/>
      <c r="AP138" s="194"/>
      <c r="AQ138" s="47"/>
      <c r="AR138" s="47"/>
      <c r="AS138" s="47"/>
      <c r="AT138" s="194"/>
      <c r="AU138" s="194"/>
      <c r="AV138" s="194"/>
      <c r="AW138" s="194"/>
      <c r="AX138" s="194"/>
      <c r="AY138" s="194"/>
      <c r="AZ138" s="194"/>
      <c r="BA138" s="194"/>
      <c r="BB138" s="194"/>
      <c r="BC138" s="194"/>
      <c r="BD138" s="194"/>
      <c r="BE138" s="194"/>
      <c r="BF138" s="194"/>
      <c r="BG138" s="194"/>
      <c r="BH138" s="194"/>
      <c r="BI138" s="194"/>
      <c r="BJ138" s="194"/>
      <c r="BK138" s="194"/>
      <c r="BL138" s="194"/>
      <c r="BM138" s="194"/>
      <c r="BN138" s="194"/>
      <c r="BO138" s="194"/>
      <c r="BP138" s="194"/>
      <c r="BQ138" s="47"/>
      <c r="BR138" s="194"/>
      <c r="BS138" s="47"/>
      <c r="BT138" s="47"/>
      <c r="BU138" s="47"/>
      <c r="BV138" s="47"/>
      <c r="BW138" s="47"/>
      <c r="BX138" s="194"/>
      <c r="BY138" s="194"/>
      <c r="BZ138" s="194"/>
      <c r="CA138" s="194"/>
      <c r="CB138" s="194"/>
      <c r="CC138" s="47"/>
      <c r="CD138" s="47"/>
      <c r="CE138" s="47"/>
      <c r="CF138" s="47"/>
      <c r="CG138" s="47"/>
      <c r="CH138" s="47"/>
      <c r="CI138" s="47"/>
      <c r="CJ138" s="47"/>
      <c r="CK138" s="47"/>
      <c r="CL138" s="194"/>
      <c r="CM138" s="47"/>
      <c r="CN138" s="47"/>
      <c r="CO138" s="47"/>
      <c r="CP138" s="47"/>
      <c r="CQ138" s="47"/>
      <c r="CR138" s="47"/>
      <c r="CS138" s="198"/>
      <c r="CT138" s="47"/>
      <c r="CU138" s="47"/>
      <c r="CV138" s="47">
        <v>1.9</v>
      </c>
      <c r="CW138" s="47"/>
      <c r="CX138" s="194"/>
      <c r="CY138" s="47"/>
      <c r="CZ138" s="47"/>
      <c r="DA138" s="47"/>
      <c r="DB138" s="47"/>
      <c r="DC138" s="47"/>
      <c r="DD138" s="47"/>
      <c r="DE138" s="47"/>
      <c r="DF138" s="47"/>
      <c r="DG138" s="47"/>
      <c r="DH138" s="47"/>
      <c r="DI138" s="47"/>
      <c r="DJ138" s="47"/>
      <c r="DK138" s="47"/>
      <c r="DL138" s="47"/>
      <c r="DM138" s="47"/>
      <c r="DN138" s="47"/>
      <c r="DO138" s="47"/>
      <c r="DP138" s="47"/>
      <c r="DQ138" s="47"/>
      <c r="DR138" s="47"/>
      <c r="DS138" s="47"/>
      <c r="DT138" s="47"/>
      <c r="DU138" s="47"/>
      <c r="DV138" s="47"/>
      <c r="DW138" s="198"/>
      <c r="DX138" s="47"/>
      <c r="DY138" s="194"/>
      <c r="DZ138" s="47"/>
      <c r="EA138" s="47"/>
      <c r="EB138" s="194"/>
      <c r="EC138" s="47"/>
      <c r="ED138" s="195"/>
      <c r="EE138" s="195"/>
      <c r="EF138" s="195"/>
      <c r="EG138" s="195"/>
      <c r="EH138" s="195"/>
      <c r="EI138" s="196"/>
      <c r="EJ138" s="201"/>
      <c r="EK138" s="202"/>
      <c r="FA138" s="251">
        <f>H138</f>
        <v>1.2650000000000001</v>
      </c>
    </row>
    <row r="139" spans="1:157" s="89" customFormat="1" ht="20.149999999999999" customHeight="1" x14ac:dyDescent="0.35">
      <c r="A139" s="47"/>
      <c r="B139" s="189" t="s">
        <v>910</v>
      </c>
      <c r="C139" s="47" t="s">
        <v>1166</v>
      </c>
      <c r="D139" s="2" t="s">
        <v>636</v>
      </c>
      <c r="E139" s="2"/>
      <c r="F139" s="48" t="s">
        <v>31</v>
      </c>
      <c r="G139" s="48" t="s">
        <v>35</v>
      </c>
      <c r="H139" s="328">
        <v>11.5</v>
      </c>
      <c r="I139" s="47"/>
      <c r="J139" s="47"/>
      <c r="K139" s="47"/>
      <c r="L139" s="47"/>
      <c r="M139" s="47"/>
      <c r="N139" s="194"/>
      <c r="O139" s="194"/>
      <c r="P139" s="194"/>
      <c r="Q139" s="194"/>
      <c r="R139" s="47"/>
      <c r="S139" s="194"/>
      <c r="T139" s="47"/>
      <c r="U139" s="194"/>
      <c r="V139" s="47"/>
      <c r="W139" s="194"/>
      <c r="X139" s="47">
        <v>18</v>
      </c>
      <c r="Y139" s="194"/>
      <c r="Z139" s="194"/>
      <c r="AA139" s="47"/>
      <c r="AB139" s="47"/>
      <c r="AC139" s="47"/>
      <c r="AD139" s="47"/>
      <c r="AE139" s="194"/>
      <c r="AF139" s="194"/>
      <c r="AG139" s="194"/>
      <c r="AI139" s="47"/>
      <c r="AJ139" s="198"/>
      <c r="AK139" s="47"/>
      <c r="AL139" s="47"/>
      <c r="AM139" s="47"/>
      <c r="AN139" s="47"/>
      <c r="AO139" s="47"/>
      <c r="AP139" s="194"/>
      <c r="AQ139" s="47"/>
      <c r="AR139" s="47"/>
      <c r="AS139" s="47"/>
      <c r="AT139" s="194"/>
      <c r="AU139" s="194"/>
      <c r="AV139" s="194"/>
      <c r="AW139" s="194"/>
      <c r="AX139" s="194"/>
      <c r="AY139" s="194"/>
      <c r="AZ139" s="194"/>
      <c r="BA139" s="194"/>
      <c r="BB139" s="194"/>
      <c r="BC139" s="194"/>
      <c r="BD139" s="194"/>
      <c r="BE139" s="194"/>
      <c r="BF139" s="194"/>
      <c r="BG139" s="194"/>
      <c r="BH139" s="194"/>
      <c r="BI139" s="194"/>
      <c r="BJ139" s="194"/>
      <c r="BK139" s="194"/>
      <c r="BL139" s="194"/>
      <c r="BM139" s="194"/>
      <c r="BN139" s="194"/>
      <c r="BO139" s="194"/>
      <c r="BP139" s="194"/>
      <c r="BQ139" s="47"/>
      <c r="BR139" s="194"/>
      <c r="BS139" s="47"/>
      <c r="BT139" s="47"/>
      <c r="BU139" s="47"/>
      <c r="BV139" s="47"/>
      <c r="BW139" s="47"/>
      <c r="BX139" s="194"/>
      <c r="BY139" s="194"/>
      <c r="BZ139" s="194"/>
      <c r="CA139" s="194"/>
      <c r="CB139" s="194"/>
      <c r="CC139" s="47"/>
      <c r="CD139" s="47"/>
      <c r="CE139" s="47"/>
      <c r="CF139" s="47"/>
      <c r="CG139" s="47"/>
      <c r="CH139" s="47"/>
      <c r="CI139" s="47"/>
      <c r="CJ139" s="47"/>
      <c r="CK139" s="47"/>
      <c r="CL139" s="194"/>
      <c r="CM139" s="47"/>
      <c r="CN139" s="47"/>
      <c r="CO139" s="47"/>
      <c r="CP139" s="47"/>
      <c r="CQ139" s="47"/>
      <c r="CR139" s="47"/>
      <c r="CS139" s="47"/>
      <c r="CT139" s="47"/>
      <c r="CU139" s="47"/>
      <c r="CV139" s="47">
        <v>15</v>
      </c>
      <c r="CW139" s="47"/>
      <c r="CX139" s="194"/>
      <c r="CY139" s="47"/>
      <c r="CZ139" s="47"/>
      <c r="DA139" s="47"/>
      <c r="DB139" s="47"/>
      <c r="DC139" s="47"/>
      <c r="DD139" s="47"/>
      <c r="DE139" s="47"/>
      <c r="DF139" s="47"/>
      <c r="DG139" s="47"/>
      <c r="DH139" s="47"/>
      <c r="DI139" s="47"/>
      <c r="DJ139" s="47"/>
      <c r="DK139" s="47"/>
      <c r="DL139" s="47"/>
      <c r="DM139" s="47"/>
      <c r="DN139" s="47"/>
      <c r="DO139" s="47"/>
      <c r="DP139" s="47"/>
      <c r="DQ139" s="47"/>
      <c r="DR139" s="47"/>
      <c r="DS139" s="47"/>
      <c r="DT139" s="47"/>
      <c r="DU139" s="47"/>
      <c r="DV139" s="47"/>
      <c r="DW139" s="198"/>
      <c r="DX139" s="47"/>
      <c r="DY139" s="194"/>
      <c r="DZ139" s="47"/>
      <c r="EA139" s="47"/>
      <c r="EB139" s="194"/>
      <c r="EC139" s="47"/>
      <c r="ED139" s="195"/>
      <c r="EE139" s="195"/>
      <c r="EF139" s="195"/>
      <c r="EG139" s="195"/>
      <c r="EH139" s="195"/>
      <c r="EI139" s="196">
        <f t="shared" si="8"/>
        <v>0</v>
      </c>
      <c r="EJ139" s="201">
        <f t="shared" si="9"/>
        <v>14.605</v>
      </c>
      <c r="EK139" s="202">
        <v>0</v>
      </c>
      <c r="FA139" s="251">
        <f t="shared" si="6"/>
        <v>11.5</v>
      </c>
    </row>
    <row r="140" spans="1:157" s="89" customFormat="1" ht="20.149999999999999" customHeight="1" x14ac:dyDescent="0.35">
      <c r="A140" s="47"/>
      <c r="B140" s="189" t="s">
        <v>911</v>
      </c>
      <c r="C140" s="47" t="s">
        <v>643</v>
      </c>
      <c r="D140" s="2" t="s">
        <v>637</v>
      </c>
      <c r="E140" s="2" t="s">
        <v>644</v>
      </c>
      <c r="F140" s="48" t="s">
        <v>645</v>
      </c>
      <c r="G140" s="48" t="s">
        <v>912</v>
      </c>
      <c r="H140" s="328">
        <v>19</v>
      </c>
      <c r="I140" s="47"/>
      <c r="J140" s="47"/>
      <c r="K140" s="47"/>
      <c r="L140" s="47"/>
      <c r="M140" s="47"/>
      <c r="N140" s="194"/>
      <c r="O140" s="194"/>
      <c r="P140" s="194"/>
      <c r="Q140" s="194"/>
      <c r="R140" s="47"/>
      <c r="S140" s="194"/>
      <c r="T140" s="47"/>
      <c r="U140" s="194"/>
      <c r="V140" s="47"/>
      <c r="W140" s="194"/>
      <c r="X140" s="47"/>
      <c r="Y140" s="194"/>
      <c r="Z140" s="194"/>
      <c r="AA140" s="47"/>
      <c r="AB140" s="47"/>
      <c r="AC140" s="47"/>
      <c r="AD140" s="47"/>
      <c r="AE140" s="194"/>
      <c r="AF140" s="194"/>
      <c r="AG140" s="194"/>
      <c r="AI140" s="47"/>
      <c r="AJ140" s="198"/>
      <c r="AK140" s="47"/>
      <c r="AL140" s="47"/>
      <c r="AM140" s="47"/>
      <c r="AN140" s="47"/>
      <c r="AO140" s="47"/>
      <c r="AP140" s="194"/>
      <c r="AQ140" s="47"/>
      <c r="AR140" s="47"/>
      <c r="AS140" s="47"/>
      <c r="AT140" s="194"/>
      <c r="AU140" s="194"/>
      <c r="AV140" s="194"/>
      <c r="AW140" s="194"/>
      <c r="AX140" s="194"/>
      <c r="AY140" s="194"/>
      <c r="AZ140" s="194"/>
      <c r="BA140" s="194"/>
      <c r="BB140" s="194"/>
      <c r="BC140" s="194"/>
      <c r="BD140" s="194"/>
      <c r="BE140" s="194"/>
      <c r="BF140" s="194"/>
      <c r="BG140" s="194"/>
      <c r="BH140" s="194"/>
      <c r="BI140" s="194"/>
      <c r="BJ140" s="194"/>
      <c r="BK140" s="194"/>
      <c r="BL140" s="194"/>
      <c r="BM140" s="194"/>
      <c r="BN140" s="194"/>
      <c r="BO140" s="194"/>
      <c r="BP140" s="194"/>
      <c r="BQ140" s="47"/>
      <c r="BR140" s="194"/>
      <c r="BS140" s="47"/>
      <c r="BT140" s="47"/>
      <c r="BU140" s="47"/>
      <c r="BV140" s="47"/>
      <c r="BW140" s="47"/>
      <c r="BX140" s="194"/>
      <c r="BY140" s="194"/>
      <c r="BZ140" s="194"/>
      <c r="CA140" s="194"/>
      <c r="CB140" s="194"/>
      <c r="CC140" s="47"/>
      <c r="CD140" s="47"/>
      <c r="CE140" s="47"/>
      <c r="CF140" s="47"/>
      <c r="CG140" s="47"/>
      <c r="CH140" s="47"/>
      <c r="CI140" s="47"/>
      <c r="CJ140" s="47"/>
      <c r="CK140" s="47"/>
      <c r="CL140" s="194"/>
      <c r="CM140" s="47"/>
      <c r="CN140" s="47"/>
      <c r="CO140" s="47"/>
      <c r="CP140" s="47"/>
      <c r="CQ140" s="47"/>
      <c r="CR140" s="47"/>
      <c r="CS140" s="198"/>
      <c r="CT140" s="47"/>
      <c r="CU140" s="47"/>
      <c r="CV140" s="47"/>
      <c r="CW140" s="47"/>
      <c r="CX140" s="194"/>
      <c r="CY140" s="47"/>
      <c r="CZ140" s="47"/>
      <c r="DA140" s="47"/>
      <c r="DB140" s="47"/>
      <c r="DC140" s="47"/>
      <c r="DD140" s="47"/>
      <c r="DE140" s="47"/>
      <c r="DF140" s="47"/>
      <c r="DG140" s="47"/>
      <c r="DH140" s="47"/>
      <c r="DI140" s="47"/>
      <c r="DJ140" s="47"/>
      <c r="DK140" s="47"/>
      <c r="DL140" s="47"/>
      <c r="DM140" s="47"/>
      <c r="DN140" s="47"/>
      <c r="DO140" s="47"/>
      <c r="DP140" s="47"/>
      <c r="DQ140" s="47"/>
      <c r="DR140" s="47"/>
      <c r="DS140" s="47"/>
      <c r="DT140" s="47"/>
      <c r="DU140" s="47"/>
      <c r="DV140" s="47"/>
      <c r="DW140" s="198"/>
      <c r="DX140" s="47"/>
      <c r="DY140" s="194"/>
      <c r="DZ140" s="47"/>
      <c r="EA140" s="47"/>
      <c r="EB140" s="194"/>
      <c r="EC140" s="47"/>
      <c r="ED140" s="195"/>
      <c r="EE140" s="195"/>
      <c r="EF140" s="195"/>
      <c r="EG140" s="195"/>
      <c r="EH140" s="195"/>
      <c r="EI140" s="196">
        <f t="shared" si="8"/>
        <v>0</v>
      </c>
      <c r="EJ140" s="201">
        <f t="shared" si="9"/>
        <v>24.13</v>
      </c>
      <c r="EK140" s="202">
        <v>18</v>
      </c>
      <c r="FA140" s="251">
        <f t="shared" si="6"/>
        <v>19</v>
      </c>
    </row>
    <row r="141" spans="1:157" s="89" customFormat="1" ht="20.149999999999999" customHeight="1" x14ac:dyDescent="0.35">
      <c r="A141" s="47"/>
      <c r="B141" s="189"/>
      <c r="C141" s="47"/>
      <c r="D141" s="2"/>
      <c r="E141" s="2"/>
      <c r="F141" s="48"/>
      <c r="G141" s="48"/>
      <c r="H141" s="57"/>
      <c r="I141" s="47"/>
      <c r="J141" s="47"/>
      <c r="K141" s="47"/>
      <c r="L141" s="47"/>
      <c r="M141" s="47"/>
      <c r="N141" s="194"/>
      <c r="O141" s="194"/>
      <c r="P141" s="194"/>
      <c r="Q141" s="194"/>
      <c r="R141" s="47"/>
      <c r="S141" s="194"/>
      <c r="T141" s="47"/>
      <c r="U141" s="194"/>
      <c r="V141" s="47"/>
      <c r="W141" s="194"/>
      <c r="X141" s="47"/>
      <c r="Y141" s="194"/>
      <c r="Z141" s="194"/>
      <c r="AA141" s="47"/>
      <c r="AB141" s="47"/>
      <c r="AC141" s="47"/>
      <c r="AD141" s="47"/>
      <c r="AE141" s="194"/>
      <c r="AF141" s="194"/>
      <c r="AG141" s="194"/>
      <c r="AI141" s="47"/>
      <c r="AJ141" s="198"/>
      <c r="AK141" s="47"/>
      <c r="AL141" s="47"/>
      <c r="AM141" s="47"/>
      <c r="AN141" s="47"/>
      <c r="AO141" s="47"/>
      <c r="AP141" s="194"/>
      <c r="AQ141" s="47"/>
      <c r="AR141" s="47"/>
      <c r="AS141" s="47"/>
      <c r="AT141" s="194"/>
      <c r="AU141" s="194"/>
      <c r="AV141" s="194"/>
      <c r="AW141" s="194"/>
      <c r="AX141" s="194"/>
      <c r="AY141" s="194"/>
      <c r="AZ141" s="194"/>
      <c r="BA141" s="194"/>
      <c r="BB141" s="194"/>
      <c r="BC141" s="194"/>
      <c r="BD141" s="194"/>
      <c r="BE141" s="194"/>
      <c r="BF141" s="194"/>
      <c r="BG141" s="194"/>
      <c r="BH141" s="194"/>
      <c r="BI141" s="194"/>
      <c r="BJ141" s="194"/>
      <c r="BK141" s="194"/>
      <c r="BL141" s="194"/>
      <c r="BM141" s="194"/>
      <c r="BN141" s="194">
        <v>15.5</v>
      </c>
      <c r="BO141" s="194"/>
      <c r="BP141" s="194"/>
      <c r="BQ141" s="47"/>
      <c r="BR141" s="194"/>
      <c r="BS141" s="47"/>
      <c r="BT141" s="47"/>
      <c r="BU141" s="47"/>
      <c r="BV141" s="47"/>
      <c r="BW141" s="47"/>
      <c r="BX141" s="194"/>
      <c r="BY141" s="194"/>
      <c r="BZ141" s="194"/>
      <c r="CA141" s="194"/>
      <c r="CB141" s="194"/>
      <c r="CC141" s="47"/>
      <c r="CD141" s="47"/>
      <c r="CE141" s="47"/>
      <c r="CF141" s="47"/>
      <c r="CG141" s="47"/>
      <c r="CH141" s="47"/>
      <c r="CI141" s="47"/>
      <c r="CJ141" s="47"/>
      <c r="CK141" s="47"/>
      <c r="CL141" s="194"/>
      <c r="CM141" s="47"/>
      <c r="CN141" s="47"/>
      <c r="CO141" s="47"/>
      <c r="CP141" s="47">
        <v>1.1000000000000001</v>
      </c>
      <c r="CQ141" s="47"/>
      <c r="CR141" s="47"/>
      <c r="CS141" s="198"/>
      <c r="CT141" s="47"/>
      <c r="CU141" s="47"/>
      <c r="CV141" s="47">
        <v>1.05</v>
      </c>
      <c r="CW141" s="47"/>
      <c r="CX141" s="194"/>
      <c r="CY141" s="47"/>
      <c r="CZ141" s="47"/>
      <c r="DA141" s="47"/>
      <c r="DB141" s="47"/>
      <c r="DC141" s="47"/>
      <c r="DD141" s="47"/>
      <c r="DE141" s="47"/>
      <c r="DF141" s="47"/>
      <c r="DG141" s="47"/>
      <c r="DH141" s="47"/>
      <c r="DI141" s="47"/>
      <c r="DJ141" s="47"/>
      <c r="DK141" s="47"/>
      <c r="DL141" s="47"/>
      <c r="DM141" s="47"/>
      <c r="DN141" s="47"/>
      <c r="DO141" s="47"/>
      <c r="DP141" s="47"/>
      <c r="DQ141" s="47"/>
      <c r="DR141" s="47"/>
      <c r="DS141" s="47"/>
      <c r="DT141" s="47"/>
      <c r="DU141" s="47">
        <v>0.9</v>
      </c>
      <c r="DV141" s="47"/>
      <c r="DW141" s="198"/>
      <c r="DX141" s="47"/>
      <c r="DY141" s="194"/>
      <c r="DZ141" s="47"/>
      <c r="EA141" s="47"/>
      <c r="EB141" s="194"/>
      <c r="EC141" s="47"/>
      <c r="ED141" s="195"/>
      <c r="EE141" s="195"/>
      <c r="EF141" s="195"/>
      <c r="EG141" s="195"/>
      <c r="EH141" s="195"/>
      <c r="EI141" s="196">
        <f t="shared" si="8"/>
        <v>0</v>
      </c>
      <c r="EJ141" s="201">
        <f t="shared" si="9"/>
        <v>0</v>
      </c>
      <c r="EK141" s="202">
        <f t="shared" si="10"/>
        <v>4.6375000000000002</v>
      </c>
      <c r="FA141" s="251">
        <f t="shared" si="6"/>
        <v>0</v>
      </c>
    </row>
    <row r="142" spans="1:157" s="89" customFormat="1" ht="20.149999999999999" customHeight="1" x14ac:dyDescent="0.35">
      <c r="A142" s="47"/>
      <c r="B142" s="47"/>
      <c r="C142" s="47"/>
      <c r="D142" s="2"/>
      <c r="E142" s="40"/>
      <c r="F142" s="40"/>
      <c r="G142" s="40"/>
      <c r="H142" s="328">
        <v>0.8</v>
      </c>
      <c r="I142" s="47"/>
      <c r="J142" s="47"/>
      <c r="K142" s="47"/>
      <c r="L142" s="47"/>
      <c r="M142" s="47"/>
      <c r="N142" s="194"/>
      <c r="O142" s="194"/>
      <c r="P142" s="194"/>
      <c r="Q142" s="194"/>
      <c r="R142" s="47"/>
      <c r="S142" s="194"/>
      <c r="T142" s="47"/>
      <c r="U142" s="194"/>
      <c r="V142" s="47"/>
      <c r="W142" s="194"/>
      <c r="X142" s="47"/>
      <c r="Y142" s="194"/>
      <c r="Z142" s="194"/>
      <c r="AA142" s="47"/>
      <c r="AB142" s="47"/>
      <c r="AC142" s="47"/>
      <c r="AD142" s="47"/>
      <c r="AE142" s="194"/>
      <c r="AF142" s="194"/>
      <c r="AG142" s="194"/>
      <c r="AI142" s="47"/>
      <c r="AJ142" s="198"/>
      <c r="AK142" s="47"/>
      <c r="AL142" s="47"/>
      <c r="AM142" s="47"/>
      <c r="AN142" s="47"/>
      <c r="AO142" s="47"/>
      <c r="AP142" s="194"/>
      <c r="AQ142" s="47"/>
      <c r="AR142" s="47"/>
      <c r="AS142" s="47"/>
      <c r="AT142" s="194"/>
      <c r="AU142" s="194"/>
      <c r="AV142" s="194"/>
      <c r="AW142" s="194"/>
      <c r="AX142" s="194"/>
      <c r="AY142" s="194"/>
      <c r="AZ142" s="194"/>
      <c r="BA142" s="194"/>
      <c r="BB142" s="194"/>
      <c r="BC142" s="194"/>
      <c r="BD142" s="194"/>
      <c r="BE142" s="194"/>
      <c r="BF142" s="194"/>
      <c r="BG142" s="194"/>
      <c r="BH142" s="194"/>
      <c r="BI142" s="194"/>
      <c r="BJ142" s="194"/>
      <c r="BK142" s="194"/>
      <c r="BL142" s="194"/>
      <c r="BM142" s="194"/>
      <c r="BN142" s="194"/>
      <c r="BO142" s="194"/>
      <c r="BP142" s="194"/>
      <c r="BQ142" s="47"/>
      <c r="BR142" s="194"/>
      <c r="BS142" s="47"/>
      <c r="BT142" s="47"/>
      <c r="BU142" s="47"/>
      <c r="BV142" s="47"/>
      <c r="BW142" s="47"/>
      <c r="BX142" s="194"/>
      <c r="BY142" s="194"/>
      <c r="BZ142" s="194"/>
      <c r="CA142" s="194"/>
      <c r="CB142" s="194"/>
      <c r="CC142" s="47"/>
      <c r="CD142" s="47"/>
      <c r="CE142" s="47"/>
      <c r="CF142" s="47"/>
      <c r="CG142" s="47"/>
      <c r="CH142" s="47"/>
      <c r="CI142" s="47"/>
      <c r="CJ142" s="47"/>
      <c r="CK142" s="47"/>
      <c r="CL142" s="194"/>
      <c r="CM142" s="47"/>
      <c r="CN142" s="47"/>
      <c r="CO142" s="47"/>
      <c r="CP142" s="47"/>
      <c r="CQ142" s="47"/>
      <c r="CR142" s="47"/>
      <c r="CS142" s="198"/>
      <c r="CT142" s="47"/>
      <c r="CU142" s="47"/>
      <c r="CV142" s="47"/>
      <c r="CW142" s="47"/>
      <c r="CX142" s="194"/>
      <c r="CY142" s="47"/>
      <c r="CZ142" s="47"/>
      <c r="DA142" s="47"/>
      <c r="DB142" s="47"/>
      <c r="DC142" s="47"/>
      <c r="DD142" s="47"/>
      <c r="DE142" s="47"/>
      <c r="DF142" s="47"/>
      <c r="DG142" s="47"/>
      <c r="DH142" s="47"/>
      <c r="DI142" s="47"/>
      <c r="DJ142" s="47"/>
      <c r="DK142" s="47"/>
      <c r="DL142" s="47"/>
      <c r="DM142" s="47"/>
      <c r="DN142" s="47"/>
      <c r="DO142" s="47"/>
      <c r="DP142" s="47"/>
      <c r="DQ142" s="47"/>
      <c r="DR142" s="47"/>
      <c r="DS142" s="47"/>
      <c r="DT142" s="47"/>
      <c r="DU142" s="47"/>
      <c r="DV142" s="47"/>
      <c r="DW142" s="198"/>
      <c r="DX142" s="47"/>
      <c r="DY142" s="194"/>
      <c r="DZ142" s="47"/>
      <c r="EA142" s="47"/>
      <c r="EB142" s="194"/>
      <c r="EC142" s="47"/>
      <c r="ED142" s="195"/>
      <c r="EE142" s="195"/>
      <c r="EF142" s="195"/>
      <c r="EG142" s="195"/>
      <c r="EH142" s="195"/>
      <c r="EI142" s="196"/>
      <c r="EJ142" s="201"/>
      <c r="EK142" s="202"/>
      <c r="FA142" s="251">
        <f t="shared" si="6"/>
        <v>0.8</v>
      </c>
    </row>
    <row r="143" spans="1:157" s="89" customFormat="1" ht="20.149999999999999" customHeight="1" x14ac:dyDescent="0.35">
      <c r="A143" s="47"/>
      <c r="B143" s="189" t="s">
        <v>913</v>
      </c>
      <c r="C143" s="47" t="s">
        <v>646</v>
      </c>
      <c r="D143" s="2"/>
      <c r="E143" s="2" t="s">
        <v>647</v>
      </c>
      <c r="F143" s="48" t="s">
        <v>648</v>
      </c>
      <c r="G143" s="48"/>
      <c r="H143" s="57">
        <v>12.5</v>
      </c>
      <c r="I143" s="47"/>
      <c r="J143" s="47"/>
      <c r="K143" s="47"/>
      <c r="L143" s="47"/>
      <c r="M143" s="47"/>
      <c r="N143" s="194"/>
      <c r="O143" s="194"/>
      <c r="P143" s="194"/>
      <c r="Q143" s="194"/>
      <c r="R143" s="47"/>
      <c r="S143" s="194"/>
      <c r="T143" s="47"/>
      <c r="U143" s="194"/>
      <c r="V143" s="47"/>
      <c r="W143" s="194"/>
      <c r="X143" s="47"/>
      <c r="Y143" s="194"/>
      <c r="Z143" s="194"/>
      <c r="AA143" s="47"/>
      <c r="AB143" s="47"/>
      <c r="AC143" s="47"/>
      <c r="AD143" s="47"/>
      <c r="AE143" s="194"/>
      <c r="AF143" s="194"/>
      <c r="AG143" s="194"/>
      <c r="AI143" s="47"/>
      <c r="AJ143" s="198"/>
      <c r="AK143" s="47"/>
      <c r="AL143" s="47"/>
      <c r="AM143" s="47"/>
      <c r="AN143" s="47"/>
      <c r="AO143" s="47"/>
      <c r="AP143" s="194"/>
      <c r="AQ143" s="47"/>
      <c r="AR143" s="47"/>
      <c r="AS143" s="47"/>
      <c r="AT143" s="194"/>
      <c r="AU143" s="194"/>
      <c r="AV143" s="194"/>
      <c r="AW143" s="194"/>
      <c r="AX143" s="194"/>
      <c r="AY143" s="194"/>
      <c r="AZ143" s="194"/>
      <c r="BA143" s="194"/>
      <c r="BB143" s="194"/>
      <c r="BC143" s="194"/>
      <c r="BD143" s="194"/>
      <c r="BE143" s="194"/>
      <c r="BF143" s="194"/>
      <c r="BG143" s="194"/>
      <c r="BH143" s="194"/>
      <c r="BI143" s="194"/>
      <c r="BJ143" s="194"/>
      <c r="BK143" s="194"/>
      <c r="BL143" s="194"/>
      <c r="BM143" s="194"/>
      <c r="BN143" s="194"/>
      <c r="BO143" s="194"/>
      <c r="BP143" s="194"/>
      <c r="BQ143" s="47"/>
      <c r="BR143" s="194"/>
      <c r="BS143" s="47"/>
      <c r="BT143" s="47"/>
      <c r="BU143" s="47"/>
      <c r="BV143" s="47"/>
      <c r="BW143" s="47"/>
      <c r="BX143" s="194"/>
      <c r="BY143" s="194"/>
      <c r="BZ143" s="194"/>
      <c r="CA143" s="194"/>
      <c r="CB143" s="194"/>
      <c r="CC143" s="47"/>
      <c r="CD143" s="47"/>
      <c r="CE143" s="47"/>
      <c r="CF143" s="47"/>
      <c r="CG143" s="47"/>
      <c r="CH143" s="47"/>
      <c r="CI143" s="47"/>
      <c r="CJ143" s="47"/>
      <c r="CK143" s="47"/>
      <c r="CL143" s="194"/>
      <c r="CM143" s="47"/>
      <c r="CN143" s="47"/>
      <c r="CO143" s="47"/>
      <c r="CP143" s="47"/>
      <c r="CQ143" s="47"/>
      <c r="CR143" s="47"/>
      <c r="CS143" s="198"/>
      <c r="CT143" s="47"/>
      <c r="CU143" s="47"/>
      <c r="CV143" s="47"/>
      <c r="CW143" s="47"/>
      <c r="CX143" s="194"/>
      <c r="CY143" s="47"/>
      <c r="CZ143" s="47"/>
      <c r="DA143" s="47"/>
      <c r="DB143" s="47"/>
      <c r="DC143" s="47"/>
      <c r="DD143" s="47"/>
      <c r="DE143" s="47"/>
      <c r="DF143" s="47"/>
      <c r="DG143" s="47"/>
      <c r="DH143" s="47"/>
      <c r="DI143" s="47"/>
      <c r="DJ143" s="47"/>
      <c r="DK143" s="47"/>
      <c r="DL143" s="47"/>
      <c r="DM143" s="47"/>
      <c r="DN143" s="47"/>
      <c r="DO143" s="47"/>
      <c r="DP143" s="47"/>
      <c r="DQ143" s="47"/>
      <c r="DR143" s="47"/>
      <c r="DS143" s="47"/>
      <c r="DT143" s="47"/>
      <c r="DU143" s="47"/>
      <c r="DV143" s="47"/>
      <c r="DW143" s="198"/>
      <c r="DX143" s="47"/>
      <c r="DY143" s="194"/>
      <c r="DZ143" s="47"/>
      <c r="EA143" s="47"/>
      <c r="EB143" s="194"/>
      <c r="EC143" s="47"/>
      <c r="ED143" s="195"/>
      <c r="EE143" s="195"/>
      <c r="EF143" s="195"/>
      <c r="EG143" s="195"/>
      <c r="EH143" s="195"/>
      <c r="EI143" s="196">
        <f t="shared" si="8"/>
        <v>0</v>
      </c>
      <c r="EJ143" s="201">
        <f t="shared" si="9"/>
        <v>15.875</v>
      </c>
      <c r="EK143" s="202">
        <v>0</v>
      </c>
      <c r="FA143" s="251">
        <f t="shared" si="6"/>
        <v>12.5</v>
      </c>
    </row>
    <row r="144" spans="1:157" s="89" customFormat="1" ht="20.149999999999999" customHeight="1" x14ac:dyDescent="0.35">
      <c r="A144" s="47"/>
      <c r="B144" s="189" t="s">
        <v>1468</v>
      </c>
      <c r="C144" s="47" t="s">
        <v>646</v>
      </c>
      <c r="D144" s="2"/>
      <c r="E144" s="2" t="s">
        <v>647</v>
      </c>
      <c r="F144" s="48" t="s">
        <v>65</v>
      </c>
      <c r="G144" s="48"/>
      <c r="H144" s="57">
        <v>1.25</v>
      </c>
      <c r="I144" s="47"/>
      <c r="J144" s="47"/>
      <c r="K144" s="47"/>
      <c r="L144" s="47"/>
      <c r="M144" s="47"/>
      <c r="N144" s="194"/>
      <c r="O144" s="194"/>
      <c r="P144" s="194"/>
      <c r="Q144" s="194"/>
      <c r="R144" s="47"/>
      <c r="S144" s="194"/>
      <c r="T144" s="47"/>
      <c r="U144" s="194"/>
      <c r="V144" s="47"/>
      <c r="W144" s="347">
        <v>1.7</v>
      </c>
      <c r="X144" s="47"/>
      <c r="Y144" s="194"/>
      <c r="Z144" s="194"/>
      <c r="AA144" s="47"/>
      <c r="AB144" s="47"/>
      <c r="AC144" s="47"/>
      <c r="AD144" s="47"/>
      <c r="AE144" s="194"/>
      <c r="AF144" s="194"/>
      <c r="AG144" s="194"/>
      <c r="AI144" s="47"/>
      <c r="AJ144" s="198"/>
      <c r="AK144" s="47"/>
      <c r="AL144" s="47"/>
      <c r="AM144" s="47"/>
      <c r="AN144" s="47"/>
      <c r="AO144" s="47"/>
      <c r="AP144" s="194"/>
      <c r="AQ144" s="47"/>
      <c r="AR144" s="47"/>
      <c r="AS144" s="47"/>
      <c r="AT144" s="194"/>
      <c r="AU144" s="194"/>
      <c r="AV144" s="194"/>
      <c r="AW144" s="194"/>
      <c r="AX144" s="194"/>
      <c r="AY144" s="194"/>
      <c r="AZ144" s="194"/>
      <c r="BA144" s="194"/>
      <c r="BB144" s="194"/>
      <c r="BC144" s="194"/>
      <c r="BD144" s="194"/>
      <c r="BE144" s="194"/>
      <c r="BF144" s="194"/>
      <c r="BG144" s="194"/>
      <c r="BH144" s="194"/>
      <c r="BI144" s="194"/>
      <c r="BJ144" s="194"/>
      <c r="BK144" s="194"/>
      <c r="BL144" s="194"/>
      <c r="BM144" s="194"/>
      <c r="BN144" s="194"/>
      <c r="BO144" s="194"/>
      <c r="BP144" s="194"/>
      <c r="BQ144" s="47"/>
      <c r="BR144" s="194"/>
      <c r="BS144" s="47"/>
      <c r="BT144" s="47"/>
      <c r="BU144" s="47"/>
      <c r="BV144" s="47"/>
      <c r="BW144" s="47"/>
      <c r="BX144" s="194"/>
      <c r="BY144" s="194"/>
      <c r="BZ144" s="194"/>
      <c r="CA144" s="194"/>
      <c r="CB144" s="194"/>
      <c r="CC144" s="47"/>
      <c r="CD144" s="47"/>
      <c r="CE144" s="47"/>
      <c r="CF144" s="47"/>
      <c r="CG144" s="47"/>
      <c r="CH144" s="47"/>
      <c r="CI144" s="47"/>
      <c r="CJ144" s="47"/>
      <c r="CK144" s="47"/>
      <c r="CL144" s="194"/>
      <c r="CM144" s="47"/>
      <c r="CN144" s="47"/>
      <c r="CO144" s="47"/>
      <c r="CP144" s="47"/>
      <c r="CQ144" s="47"/>
      <c r="CR144" s="47"/>
      <c r="CS144" s="198"/>
      <c r="CT144" s="47"/>
      <c r="CU144" s="47"/>
      <c r="CV144" s="47"/>
      <c r="CW144" s="47"/>
      <c r="CX144" s="194"/>
      <c r="CY144" s="47"/>
      <c r="CZ144" s="47"/>
      <c r="DA144" s="47"/>
      <c r="DB144" s="47"/>
      <c r="DC144" s="47"/>
      <c r="DD144" s="47"/>
      <c r="DE144" s="47"/>
      <c r="DF144" s="47"/>
      <c r="DG144" s="47"/>
      <c r="DH144" s="47"/>
      <c r="DI144" s="47"/>
      <c r="DJ144" s="47"/>
      <c r="DK144" s="47"/>
      <c r="DL144" s="47"/>
      <c r="DM144" s="47"/>
      <c r="DN144" s="47"/>
      <c r="DO144" s="47"/>
      <c r="DP144" s="47"/>
      <c r="DQ144" s="47"/>
      <c r="DR144" s="47"/>
      <c r="DS144" s="47"/>
      <c r="DT144" s="47"/>
      <c r="DU144" s="47"/>
      <c r="DV144" s="47"/>
      <c r="DW144" s="198"/>
      <c r="DX144" s="47"/>
      <c r="DY144" s="194"/>
      <c r="DZ144" s="47"/>
      <c r="EA144" s="47"/>
      <c r="EB144" s="194"/>
      <c r="EC144" s="47"/>
      <c r="ED144" s="195"/>
      <c r="EE144" s="195"/>
      <c r="EF144" s="195"/>
      <c r="EG144" s="195"/>
      <c r="EH144" s="195"/>
      <c r="EI144" s="196"/>
      <c r="EJ144" s="201"/>
      <c r="EK144" s="202"/>
      <c r="FA144" s="251">
        <f>H144</f>
        <v>1.25</v>
      </c>
    </row>
    <row r="145" spans="1:157" s="89" customFormat="1" ht="20.149999999999999" customHeight="1" x14ac:dyDescent="0.35">
      <c r="A145" s="47"/>
      <c r="B145" s="189" t="s">
        <v>914</v>
      </c>
      <c r="C145" s="189" t="s">
        <v>1168</v>
      </c>
      <c r="D145" s="2" t="s">
        <v>636</v>
      </c>
      <c r="E145" s="2" t="s">
        <v>1258</v>
      </c>
      <c r="F145" s="2" t="s">
        <v>65</v>
      </c>
      <c r="G145" s="2"/>
      <c r="H145" s="57"/>
      <c r="I145" s="47"/>
      <c r="J145" s="47"/>
      <c r="K145" s="47"/>
      <c r="L145" s="47"/>
      <c r="M145" s="47"/>
      <c r="N145" s="194"/>
      <c r="O145" s="194"/>
      <c r="P145" s="194"/>
      <c r="Q145" s="194"/>
      <c r="R145" s="47"/>
      <c r="S145" s="194"/>
      <c r="T145" s="47"/>
      <c r="U145" s="194"/>
      <c r="V145" s="47"/>
      <c r="W145" s="194"/>
      <c r="X145" s="47"/>
      <c r="Y145" s="194"/>
      <c r="Z145" s="194"/>
      <c r="AA145" s="47"/>
      <c r="AB145" s="47"/>
      <c r="AC145" s="47"/>
      <c r="AD145" s="47"/>
      <c r="AE145" s="194"/>
      <c r="AF145" s="194"/>
      <c r="AG145" s="194"/>
      <c r="AI145" s="47"/>
      <c r="AJ145" s="198"/>
      <c r="AK145" s="47"/>
      <c r="AL145" s="47"/>
      <c r="AM145" s="47"/>
      <c r="AN145" s="47"/>
      <c r="AO145" s="47"/>
      <c r="AP145" s="194"/>
      <c r="AQ145" s="47"/>
      <c r="AR145" s="47"/>
      <c r="AS145" s="47"/>
      <c r="AT145" s="194"/>
      <c r="AU145" s="194"/>
      <c r="AV145" s="194"/>
      <c r="AW145" s="194"/>
      <c r="AX145" s="194"/>
      <c r="AY145" s="194"/>
      <c r="AZ145" s="194"/>
      <c r="BA145" s="194"/>
      <c r="BB145" s="194"/>
      <c r="BC145" s="194"/>
      <c r="BD145" s="194"/>
      <c r="BE145" s="194"/>
      <c r="BF145" s="194"/>
      <c r="BG145" s="194"/>
      <c r="BH145" s="194"/>
      <c r="BI145" s="194"/>
      <c r="BJ145" s="194"/>
      <c r="BK145" s="194"/>
      <c r="BL145" s="194"/>
      <c r="BM145" s="194"/>
      <c r="BN145" s="194"/>
      <c r="BO145" s="194"/>
      <c r="BP145" s="194"/>
      <c r="BQ145" s="47"/>
      <c r="BR145" s="194"/>
      <c r="BS145" s="47"/>
      <c r="BT145" s="47"/>
      <c r="BU145" s="47"/>
      <c r="BV145" s="47"/>
      <c r="BW145" s="47"/>
      <c r="BX145" s="194"/>
      <c r="BY145" s="194"/>
      <c r="BZ145" s="194"/>
      <c r="CA145" s="194"/>
      <c r="CB145" s="194"/>
      <c r="CC145" s="47"/>
      <c r="CD145" s="47"/>
      <c r="CE145" s="47"/>
      <c r="CF145" s="47"/>
      <c r="CG145" s="47"/>
      <c r="CH145" s="47"/>
      <c r="CI145" s="47"/>
      <c r="CJ145" s="47"/>
      <c r="CK145" s="47"/>
      <c r="CL145" s="194"/>
      <c r="CM145" s="47"/>
      <c r="CN145" s="47"/>
      <c r="CO145" s="47"/>
      <c r="CP145" s="47"/>
      <c r="CQ145" s="47"/>
      <c r="CR145" s="47"/>
      <c r="CS145" s="198"/>
      <c r="CT145" s="47"/>
      <c r="CU145" s="47"/>
      <c r="CV145" s="47"/>
      <c r="CW145" s="47"/>
      <c r="CX145" s="194"/>
      <c r="CY145" s="47"/>
      <c r="CZ145" s="47"/>
      <c r="DA145" s="47"/>
      <c r="DB145" s="47"/>
      <c r="DC145" s="47"/>
      <c r="DD145" s="47"/>
      <c r="DE145" s="47"/>
      <c r="DF145" s="47"/>
      <c r="DG145" s="47"/>
      <c r="DH145" s="47"/>
      <c r="DI145" s="47"/>
      <c r="DJ145" s="47"/>
      <c r="DK145" s="47"/>
      <c r="DL145" s="47"/>
      <c r="DM145" s="47"/>
      <c r="DN145" s="47"/>
      <c r="DO145" s="47"/>
      <c r="DP145" s="47"/>
      <c r="DQ145" s="47"/>
      <c r="DR145" s="47"/>
      <c r="DS145" s="47"/>
      <c r="DT145" s="47"/>
      <c r="DU145" s="47"/>
      <c r="DV145" s="47"/>
      <c r="DW145" s="198"/>
      <c r="DX145" s="47"/>
      <c r="DY145" s="194"/>
      <c r="DZ145" s="47"/>
      <c r="EA145" s="47"/>
      <c r="EB145" s="194"/>
      <c r="EC145" s="47"/>
      <c r="ED145" s="195"/>
      <c r="EE145" s="195"/>
      <c r="EF145" s="195"/>
      <c r="EG145" s="195"/>
      <c r="EH145" s="195"/>
      <c r="EI145" s="196">
        <f t="shared" si="8"/>
        <v>0</v>
      </c>
      <c r="EJ145" s="201">
        <f t="shared" si="9"/>
        <v>0</v>
      </c>
      <c r="EK145" s="202" t="e">
        <f t="shared" si="10"/>
        <v>#DIV/0!</v>
      </c>
      <c r="FA145" s="251">
        <f t="shared" si="6"/>
        <v>0</v>
      </c>
    </row>
    <row r="146" spans="1:157" s="89" customFormat="1" ht="20.149999999999999" customHeight="1" x14ac:dyDescent="0.35">
      <c r="A146" s="47"/>
      <c r="B146" s="189" t="s">
        <v>1167</v>
      </c>
      <c r="C146" s="189" t="s">
        <v>1254</v>
      </c>
      <c r="D146" s="2" t="s">
        <v>636</v>
      </c>
      <c r="E146" s="2" t="s">
        <v>33</v>
      </c>
      <c r="F146" s="2" t="s">
        <v>65</v>
      </c>
      <c r="G146" s="2" t="s">
        <v>35</v>
      </c>
      <c r="H146" s="57">
        <v>26</v>
      </c>
      <c r="I146" s="47"/>
      <c r="J146" s="47"/>
      <c r="K146" s="47"/>
      <c r="L146" s="47"/>
      <c r="M146" s="47"/>
      <c r="N146" s="194"/>
      <c r="O146" s="194"/>
      <c r="P146" s="194"/>
      <c r="Q146" s="194"/>
      <c r="R146" s="47"/>
      <c r="S146" s="194"/>
      <c r="T146" s="47"/>
      <c r="U146" s="194"/>
      <c r="V146" s="47"/>
      <c r="W146" s="194"/>
      <c r="X146" s="47"/>
      <c r="Y146" s="194"/>
      <c r="Z146" s="194"/>
      <c r="AA146" s="47"/>
      <c r="AB146" s="47"/>
      <c r="AC146" s="47"/>
      <c r="AD146" s="47"/>
      <c r="AE146" s="194"/>
      <c r="AF146" s="194"/>
      <c r="AG146" s="194"/>
      <c r="AI146" s="47"/>
      <c r="AJ146" s="198"/>
      <c r="AK146" s="47"/>
      <c r="AL146" s="47"/>
      <c r="AM146" s="47"/>
      <c r="AN146" s="47"/>
      <c r="AO146" s="47"/>
      <c r="AP146" s="194"/>
      <c r="AQ146" s="47"/>
      <c r="AR146" s="47"/>
      <c r="AS146" s="47"/>
      <c r="AT146" s="194"/>
      <c r="AU146" s="194"/>
      <c r="AV146" s="194"/>
      <c r="AW146" s="194"/>
      <c r="AX146" s="194"/>
      <c r="AY146" s="194"/>
      <c r="AZ146" s="194"/>
      <c r="BA146" s="194"/>
      <c r="BB146" s="194"/>
      <c r="BC146" s="194"/>
      <c r="BD146" s="194"/>
      <c r="BE146" s="194"/>
      <c r="BF146" s="194"/>
      <c r="BG146" s="194"/>
      <c r="BH146" s="194"/>
      <c r="BI146" s="194"/>
      <c r="BJ146" s="194"/>
      <c r="BK146" s="194"/>
      <c r="BL146" s="194"/>
      <c r="BM146" s="194"/>
      <c r="BN146" s="194"/>
      <c r="BO146" s="194"/>
      <c r="BP146" s="194"/>
      <c r="BQ146" s="47"/>
      <c r="BR146" s="194"/>
      <c r="BS146" s="47"/>
      <c r="BT146" s="47"/>
      <c r="BU146" s="47"/>
      <c r="BV146" s="47"/>
      <c r="BW146" s="47"/>
      <c r="BX146" s="194"/>
      <c r="BY146" s="194"/>
      <c r="BZ146" s="194"/>
      <c r="CA146" s="194"/>
      <c r="CB146" s="194"/>
      <c r="CC146" s="47"/>
      <c r="CD146" s="47"/>
      <c r="CE146" s="47"/>
      <c r="CF146" s="47"/>
      <c r="CG146" s="47"/>
      <c r="CH146" s="47"/>
      <c r="CI146" s="47"/>
      <c r="CJ146" s="47"/>
      <c r="CK146" s="47"/>
      <c r="CL146" s="194"/>
      <c r="CM146" s="47"/>
      <c r="CN146" s="47"/>
      <c r="CO146" s="47"/>
      <c r="CP146" s="47"/>
      <c r="CQ146" s="47"/>
      <c r="CR146" s="47"/>
      <c r="CS146" s="198"/>
      <c r="CT146" s="47"/>
      <c r="CU146" s="47"/>
      <c r="CV146" s="47">
        <v>40</v>
      </c>
      <c r="CW146" s="47"/>
      <c r="CX146" s="194"/>
      <c r="CY146" s="47"/>
      <c r="CZ146" s="47"/>
      <c r="DA146" s="47"/>
      <c r="DB146" s="47"/>
      <c r="DC146" s="47"/>
      <c r="DD146" s="47"/>
      <c r="DE146" s="47"/>
      <c r="DF146" s="47"/>
      <c r="DG146" s="47"/>
      <c r="DH146" s="47"/>
      <c r="DI146" s="47"/>
      <c r="DJ146" s="47"/>
      <c r="DK146" s="47"/>
      <c r="DL146" s="47"/>
      <c r="DM146" s="47"/>
      <c r="DN146" s="47"/>
      <c r="DO146" s="47"/>
      <c r="DP146" s="47"/>
      <c r="DQ146" s="47"/>
      <c r="DR146" s="47"/>
      <c r="DS146" s="47"/>
      <c r="DT146" s="47"/>
      <c r="DU146" s="47"/>
      <c r="DV146" s="47"/>
      <c r="DW146" s="198"/>
      <c r="DX146" s="47"/>
      <c r="DY146" s="194"/>
      <c r="DZ146" s="47"/>
      <c r="EA146" s="47"/>
      <c r="EB146" s="194"/>
      <c r="EC146" s="47"/>
      <c r="ED146" s="195"/>
      <c r="EE146" s="195"/>
      <c r="EF146" s="195"/>
      <c r="EG146" s="195"/>
      <c r="EH146" s="195"/>
      <c r="EI146" s="196"/>
      <c r="EJ146" s="201"/>
      <c r="EK146" s="202"/>
      <c r="FA146" s="251">
        <f t="shared" si="6"/>
        <v>26</v>
      </c>
    </row>
    <row r="147" spans="1:157" s="89" customFormat="1" ht="20.149999999999999" customHeight="1" x14ac:dyDescent="0.35">
      <c r="A147" s="47"/>
      <c r="B147" s="189" t="s">
        <v>1181</v>
      </c>
      <c r="C147" s="189" t="s">
        <v>1404</v>
      </c>
      <c r="D147" s="2" t="s">
        <v>33</v>
      </c>
      <c r="E147" s="2" t="s">
        <v>1257</v>
      </c>
      <c r="F147" s="2" t="s">
        <v>588</v>
      </c>
      <c r="G147" s="2" t="s">
        <v>45</v>
      </c>
      <c r="H147" s="57"/>
      <c r="I147" s="47"/>
      <c r="J147" s="47"/>
      <c r="K147" s="47"/>
      <c r="L147" s="47"/>
      <c r="M147" s="47"/>
      <c r="N147" s="194"/>
      <c r="O147" s="194"/>
      <c r="P147" s="194"/>
      <c r="Q147" s="194"/>
      <c r="R147" s="47"/>
      <c r="S147" s="194"/>
      <c r="T147" s="47"/>
      <c r="U147" s="194"/>
      <c r="V147" s="47"/>
      <c r="W147" s="194"/>
      <c r="X147" s="47"/>
      <c r="Y147" s="194"/>
      <c r="Z147" s="194"/>
      <c r="AA147" s="47"/>
      <c r="AB147" s="47"/>
      <c r="AC147" s="47"/>
      <c r="AD147" s="47"/>
      <c r="AE147" s="194"/>
      <c r="AF147" s="194"/>
      <c r="AG147" s="194"/>
      <c r="AI147" s="47"/>
      <c r="AJ147" s="198"/>
      <c r="AK147" s="47"/>
      <c r="AL147" s="47"/>
      <c r="AM147" s="47"/>
      <c r="AN147" s="47"/>
      <c r="AO147" s="47"/>
      <c r="AP147" s="194"/>
      <c r="AQ147" s="47"/>
      <c r="AR147" s="47"/>
      <c r="AS147" s="47"/>
      <c r="AT147" s="194"/>
      <c r="AU147" s="194"/>
      <c r="AV147" s="194"/>
      <c r="AW147" s="194"/>
      <c r="AX147" s="194"/>
      <c r="AY147" s="194"/>
      <c r="AZ147" s="194"/>
      <c r="BA147" s="194"/>
      <c r="BB147" s="194"/>
      <c r="BC147" s="194"/>
      <c r="BD147" s="194"/>
      <c r="BE147" s="194"/>
      <c r="BF147" s="194"/>
      <c r="BG147" s="194"/>
      <c r="BH147" s="194"/>
      <c r="BI147" s="194"/>
      <c r="BJ147" s="194"/>
      <c r="BK147" s="194"/>
      <c r="BL147" s="194"/>
      <c r="BM147" s="194"/>
      <c r="BN147" s="194"/>
      <c r="BO147" s="194"/>
      <c r="BP147" s="194"/>
      <c r="BQ147" s="47"/>
      <c r="BR147" s="194"/>
      <c r="BS147" s="47"/>
      <c r="BT147" s="47"/>
      <c r="BU147" s="47"/>
      <c r="BV147" s="47"/>
      <c r="BW147" s="47"/>
      <c r="BX147" s="194"/>
      <c r="BY147" s="194"/>
      <c r="BZ147" s="194"/>
      <c r="CA147" s="194"/>
      <c r="CB147" s="194"/>
      <c r="CC147" s="47"/>
      <c r="CD147" s="47"/>
      <c r="CE147" s="47"/>
      <c r="CF147" s="47"/>
      <c r="CG147" s="47"/>
      <c r="CH147" s="47"/>
      <c r="CI147" s="47"/>
      <c r="CJ147" s="47"/>
      <c r="CK147" s="47"/>
      <c r="CL147" s="194"/>
      <c r="CM147" s="47"/>
      <c r="CN147" s="47"/>
      <c r="CO147" s="47"/>
      <c r="CP147" s="47"/>
      <c r="CQ147" s="47"/>
      <c r="CR147" s="47"/>
      <c r="CS147" s="198"/>
      <c r="CT147" s="47"/>
      <c r="CU147" s="47"/>
      <c r="CV147" s="47"/>
      <c r="CW147" s="47"/>
      <c r="CX147" s="194"/>
      <c r="CY147" s="47"/>
      <c r="CZ147" s="47"/>
      <c r="DA147" s="47"/>
      <c r="DB147" s="47"/>
      <c r="DC147" s="47"/>
      <c r="DD147" s="47"/>
      <c r="DE147" s="47"/>
      <c r="DF147" s="47"/>
      <c r="DG147" s="47"/>
      <c r="DH147" s="47"/>
      <c r="DI147" s="47"/>
      <c r="DJ147" s="47"/>
      <c r="DK147" s="47"/>
      <c r="DL147" s="47"/>
      <c r="DM147" s="47"/>
      <c r="DN147" s="47"/>
      <c r="DO147" s="47"/>
      <c r="DP147" s="47"/>
      <c r="DQ147" s="47"/>
      <c r="DR147" s="47"/>
      <c r="DS147" s="47"/>
      <c r="DT147" s="47"/>
      <c r="DU147" s="47"/>
      <c r="DV147" s="47"/>
      <c r="DW147" s="198"/>
      <c r="DX147" s="47"/>
      <c r="DY147" s="194"/>
      <c r="DZ147" s="47"/>
      <c r="EA147" s="47"/>
      <c r="EB147" s="194"/>
      <c r="EC147" s="47"/>
      <c r="ED147" s="195"/>
      <c r="EE147" s="195"/>
      <c r="EF147" s="195"/>
      <c r="EG147" s="195"/>
      <c r="EH147" s="195"/>
      <c r="EI147" s="196"/>
      <c r="EJ147" s="201"/>
      <c r="EK147" s="202"/>
      <c r="FA147" s="251">
        <f t="shared" si="6"/>
        <v>0</v>
      </c>
    </row>
    <row r="148" spans="1:157" s="89" customFormat="1" ht="20.149999999999999" customHeight="1" x14ac:dyDescent="0.35">
      <c r="A148" s="47"/>
      <c r="B148" s="189" t="s">
        <v>1206</v>
      </c>
      <c r="C148" s="189" t="s">
        <v>1402</v>
      </c>
      <c r="D148" s="2" t="s">
        <v>636</v>
      </c>
      <c r="E148" s="2" t="s">
        <v>1258</v>
      </c>
      <c r="F148" s="2" t="s">
        <v>65</v>
      </c>
      <c r="G148" s="2" t="s">
        <v>45</v>
      </c>
      <c r="H148" s="328">
        <v>12</v>
      </c>
      <c r="I148" s="47"/>
      <c r="J148" s="47"/>
      <c r="K148" s="47"/>
      <c r="L148" s="47"/>
      <c r="M148" s="47"/>
      <c r="N148" s="194"/>
      <c r="O148" s="194"/>
      <c r="P148" s="194"/>
      <c r="Q148" s="194"/>
      <c r="R148" s="47"/>
      <c r="S148" s="194"/>
      <c r="T148" s="47"/>
      <c r="U148" s="194"/>
      <c r="V148" s="47"/>
      <c r="W148" s="194"/>
      <c r="X148" s="47"/>
      <c r="Y148" s="194"/>
      <c r="Z148" s="194"/>
      <c r="AA148" s="47"/>
      <c r="AB148" s="47"/>
      <c r="AC148" s="47"/>
      <c r="AD148" s="47"/>
      <c r="AE148" s="194"/>
      <c r="AF148" s="194"/>
      <c r="AG148" s="194"/>
      <c r="AI148" s="47"/>
      <c r="AJ148" s="198"/>
      <c r="AK148" s="47"/>
      <c r="AL148" s="47"/>
      <c r="AM148" s="47"/>
      <c r="AN148" s="47"/>
      <c r="AO148" s="47"/>
      <c r="AP148" s="194"/>
      <c r="AQ148" s="47"/>
      <c r="AR148" s="47"/>
      <c r="AS148" s="47"/>
      <c r="AT148" s="194"/>
      <c r="AU148" s="194"/>
      <c r="AV148" s="194"/>
      <c r="AW148" s="194"/>
      <c r="AX148" s="194"/>
      <c r="AY148" s="194"/>
      <c r="AZ148" s="194"/>
      <c r="BA148" s="194"/>
      <c r="BB148" s="194"/>
      <c r="BC148" s="194"/>
      <c r="BD148" s="194"/>
      <c r="BE148" s="194"/>
      <c r="BF148" s="194"/>
      <c r="BG148" s="194"/>
      <c r="BH148" s="194"/>
      <c r="BI148" s="194"/>
      <c r="BJ148" s="194"/>
      <c r="BK148" s="194"/>
      <c r="BL148" s="194"/>
      <c r="BM148" s="194"/>
      <c r="BN148" s="194"/>
      <c r="BO148" s="194"/>
      <c r="BP148" s="194"/>
      <c r="BQ148" s="47"/>
      <c r="BR148" s="194"/>
      <c r="BS148" s="47"/>
      <c r="BT148" s="47"/>
      <c r="BU148" s="47"/>
      <c r="BV148" s="47"/>
      <c r="BW148" s="47"/>
      <c r="BX148" s="194"/>
      <c r="BY148" s="194"/>
      <c r="BZ148" s="194"/>
      <c r="CA148" s="194"/>
      <c r="CB148" s="194"/>
      <c r="CC148" s="47"/>
      <c r="CD148" s="47"/>
      <c r="CE148" s="47"/>
      <c r="CF148" s="47"/>
      <c r="CG148" s="47"/>
      <c r="CH148" s="47"/>
      <c r="CI148" s="47"/>
      <c r="CJ148" s="47"/>
      <c r="CK148" s="47"/>
      <c r="CL148" s="194"/>
      <c r="CM148" s="47"/>
      <c r="CN148" s="47"/>
      <c r="CO148" s="47"/>
      <c r="CP148" s="47"/>
      <c r="CQ148" s="47"/>
      <c r="CR148" s="47"/>
      <c r="CS148" s="198"/>
      <c r="CT148" s="47"/>
      <c r="CU148" s="47"/>
      <c r="CV148" s="47">
        <v>15</v>
      </c>
      <c r="CW148" s="47"/>
      <c r="CX148" s="194"/>
      <c r="CY148" s="47"/>
      <c r="CZ148" s="47"/>
      <c r="DA148" s="47"/>
      <c r="DB148" s="47"/>
      <c r="DC148" s="47"/>
      <c r="DD148" s="47"/>
      <c r="DE148" s="47"/>
      <c r="DF148" s="47"/>
      <c r="DG148" s="47"/>
      <c r="DH148" s="47"/>
      <c r="DI148" s="47"/>
      <c r="DJ148" s="47"/>
      <c r="DK148" s="47"/>
      <c r="DL148" s="47"/>
      <c r="DM148" s="47"/>
      <c r="DN148" s="47"/>
      <c r="DO148" s="47"/>
      <c r="DP148" s="47"/>
      <c r="DQ148" s="47"/>
      <c r="DR148" s="47"/>
      <c r="DS148" s="47"/>
      <c r="DT148" s="47"/>
      <c r="DU148" s="47"/>
      <c r="DV148" s="47"/>
      <c r="DW148" s="198"/>
      <c r="DX148" s="47"/>
      <c r="DY148" s="194"/>
      <c r="DZ148" s="47"/>
      <c r="EA148" s="47"/>
      <c r="EB148" s="194"/>
      <c r="EC148" s="47"/>
      <c r="ED148" s="195"/>
      <c r="EE148" s="195"/>
      <c r="EF148" s="195"/>
      <c r="EG148" s="195"/>
      <c r="EH148" s="195"/>
      <c r="EI148" s="196"/>
      <c r="EJ148" s="201"/>
      <c r="EK148" s="202"/>
      <c r="FA148" s="251">
        <f t="shared" ref="FA148:FA212" si="11">H148</f>
        <v>12</v>
      </c>
    </row>
    <row r="149" spans="1:157" s="89" customFormat="1" ht="20.149999999999999" customHeight="1" x14ac:dyDescent="0.35">
      <c r="A149" s="47"/>
      <c r="B149" s="189" t="s">
        <v>1232</v>
      </c>
      <c r="C149" s="189" t="s">
        <v>1403</v>
      </c>
      <c r="D149" s="2" t="s">
        <v>636</v>
      </c>
      <c r="E149" s="2"/>
      <c r="F149" s="2" t="s">
        <v>1256</v>
      </c>
      <c r="G149" s="2" t="s">
        <v>45</v>
      </c>
      <c r="H149" s="57"/>
      <c r="I149" s="47"/>
      <c r="J149" s="47"/>
      <c r="K149" s="47"/>
      <c r="L149" s="47"/>
      <c r="M149" s="47"/>
      <c r="N149" s="194"/>
      <c r="O149" s="194"/>
      <c r="P149" s="194"/>
      <c r="Q149" s="194"/>
      <c r="R149" s="47"/>
      <c r="S149" s="194"/>
      <c r="T149" s="47"/>
      <c r="U149" s="194"/>
      <c r="V149" s="47"/>
      <c r="W149" s="194"/>
      <c r="X149" s="47"/>
      <c r="Y149" s="194"/>
      <c r="Z149" s="194"/>
      <c r="AA149" s="47"/>
      <c r="AB149" s="47"/>
      <c r="AC149" s="47"/>
      <c r="AD149" s="47"/>
      <c r="AE149" s="194"/>
      <c r="AF149" s="194"/>
      <c r="AG149" s="194"/>
      <c r="AI149" s="47"/>
      <c r="AJ149" s="198"/>
      <c r="AK149" s="47"/>
      <c r="AL149" s="47"/>
      <c r="AM149" s="47"/>
      <c r="AN149" s="47"/>
      <c r="AO149" s="47"/>
      <c r="AP149" s="194"/>
      <c r="AQ149" s="47"/>
      <c r="AR149" s="47"/>
      <c r="AS149" s="47"/>
      <c r="AT149" s="194"/>
      <c r="AU149" s="194"/>
      <c r="AV149" s="194"/>
      <c r="AW149" s="194"/>
      <c r="AX149" s="194"/>
      <c r="AY149" s="194"/>
      <c r="AZ149" s="194"/>
      <c r="BA149" s="194"/>
      <c r="BB149" s="194"/>
      <c r="BC149" s="194"/>
      <c r="BD149" s="194"/>
      <c r="BE149" s="194"/>
      <c r="BF149" s="194"/>
      <c r="BG149" s="194"/>
      <c r="BH149" s="194"/>
      <c r="BI149" s="194"/>
      <c r="BJ149" s="194"/>
      <c r="BK149" s="194"/>
      <c r="BL149" s="194"/>
      <c r="BM149" s="194"/>
      <c r="BN149" s="194"/>
      <c r="BO149" s="194"/>
      <c r="BP149" s="194"/>
      <c r="BQ149" s="47"/>
      <c r="BR149" s="194"/>
      <c r="BS149" s="47"/>
      <c r="BT149" s="47"/>
      <c r="BU149" s="47"/>
      <c r="BV149" s="47"/>
      <c r="BW149" s="47"/>
      <c r="BX149" s="194"/>
      <c r="BY149" s="194"/>
      <c r="BZ149" s="194"/>
      <c r="CA149" s="194"/>
      <c r="CB149" s="194"/>
      <c r="CC149" s="47"/>
      <c r="CD149" s="47"/>
      <c r="CE149" s="47"/>
      <c r="CF149" s="47"/>
      <c r="CG149" s="47"/>
      <c r="CH149" s="47"/>
      <c r="CI149" s="47"/>
      <c r="CJ149" s="47"/>
      <c r="CK149" s="47"/>
      <c r="CL149" s="194"/>
      <c r="CM149" s="47"/>
      <c r="CN149" s="47"/>
      <c r="CO149" s="47"/>
      <c r="CP149" s="47"/>
      <c r="CQ149" s="47"/>
      <c r="CR149" s="47"/>
      <c r="CS149" s="198"/>
      <c r="CT149" s="47"/>
      <c r="CU149" s="47"/>
      <c r="CV149" s="47"/>
      <c r="CW149" s="47"/>
      <c r="CX149" s="194"/>
      <c r="CY149" s="47"/>
      <c r="CZ149" s="47"/>
      <c r="DA149" s="47"/>
      <c r="DB149" s="47"/>
      <c r="DC149" s="47"/>
      <c r="DD149" s="47"/>
      <c r="DE149" s="47"/>
      <c r="DF149" s="47"/>
      <c r="DG149" s="47"/>
      <c r="DH149" s="47"/>
      <c r="DI149" s="47"/>
      <c r="DJ149" s="47"/>
      <c r="DK149" s="47"/>
      <c r="DL149" s="47"/>
      <c r="DM149" s="47"/>
      <c r="DN149" s="47"/>
      <c r="DO149" s="47"/>
      <c r="DP149" s="47"/>
      <c r="DQ149" s="47"/>
      <c r="DR149" s="47"/>
      <c r="DS149" s="47"/>
      <c r="DT149" s="47"/>
      <c r="DU149" s="47">
        <v>3.5</v>
      </c>
      <c r="DV149" s="47"/>
      <c r="DW149" s="198"/>
      <c r="DX149" s="47"/>
      <c r="DY149" s="194"/>
      <c r="DZ149" s="47"/>
      <c r="EA149" s="47"/>
      <c r="EB149" s="194"/>
      <c r="EC149" s="47"/>
      <c r="ED149" s="195"/>
      <c r="EE149" s="195"/>
      <c r="EF149" s="195"/>
      <c r="EG149" s="195"/>
      <c r="EH149" s="195"/>
      <c r="EI149" s="196"/>
      <c r="EJ149" s="201"/>
      <c r="EK149" s="202"/>
      <c r="FA149" s="251">
        <f t="shared" si="11"/>
        <v>0</v>
      </c>
    </row>
    <row r="150" spans="1:157" s="89" customFormat="1" ht="20.149999999999999" customHeight="1" x14ac:dyDescent="0.35">
      <c r="A150" s="47"/>
      <c r="B150" s="189" t="s">
        <v>1255</v>
      </c>
      <c r="C150" s="189" t="s">
        <v>1401</v>
      </c>
      <c r="D150" s="2" t="s">
        <v>636</v>
      </c>
      <c r="E150" s="2" t="s">
        <v>33</v>
      </c>
      <c r="F150" s="2" t="s">
        <v>632</v>
      </c>
      <c r="G150" s="2" t="s">
        <v>45</v>
      </c>
      <c r="H150" s="57"/>
      <c r="I150" s="47"/>
      <c r="J150" s="47"/>
      <c r="K150" s="47"/>
      <c r="L150" s="47"/>
      <c r="M150" s="47"/>
      <c r="N150" s="194"/>
      <c r="O150" s="194"/>
      <c r="P150" s="194"/>
      <c r="Q150" s="194"/>
      <c r="R150" s="47"/>
      <c r="S150" s="194"/>
      <c r="T150" s="47"/>
      <c r="U150" s="194"/>
      <c r="V150" s="47"/>
      <c r="W150" s="194"/>
      <c r="X150" s="47"/>
      <c r="Y150" s="194"/>
      <c r="Z150" s="194"/>
      <c r="AA150" s="47"/>
      <c r="AB150" s="47"/>
      <c r="AC150" s="47">
        <v>17</v>
      </c>
      <c r="AD150" s="47"/>
      <c r="AE150" s="194"/>
      <c r="AF150" s="194"/>
      <c r="AG150" s="194"/>
      <c r="AI150" s="47"/>
      <c r="AJ150" s="198"/>
      <c r="AK150" s="47"/>
      <c r="AL150" s="47"/>
      <c r="AM150" s="47"/>
      <c r="AN150" s="47"/>
      <c r="AO150" s="47"/>
      <c r="AP150" s="194"/>
      <c r="AQ150" s="47"/>
      <c r="AR150" s="47"/>
      <c r="AS150" s="47"/>
      <c r="AT150" s="194"/>
      <c r="AU150" s="194"/>
      <c r="AV150" s="194"/>
      <c r="AW150" s="194"/>
      <c r="AX150" s="194"/>
      <c r="AY150" s="194"/>
      <c r="AZ150" s="194"/>
      <c r="BA150" s="194"/>
      <c r="BB150" s="194"/>
      <c r="BC150" s="194"/>
      <c r="BD150" s="194"/>
      <c r="BE150" s="194"/>
      <c r="BF150" s="194"/>
      <c r="BG150" s="194"/>
      <c r="BH150" s="194"/>
      <c r="BI150" s="194"/>
      <c r="BJ150" s="194"/>
      <c r="BK150" s="194"/>
      <c r="BL150" s="194"/>
      <c r="BM150" s="194"/>
      <c r="BN150" s="194"/>
      <c r="BO150" s="194"/>
      <c r="BP150" s="194"/>
      <c r="BQ150" s="47"/>
      <c r="BR150" s="194"/>
      <c r="BS150" s="47"/>
      <c r="BT150" s="47"/>
      <c r="BU150" s="47"/>
      <c r="BV150" s="47"/>
      <c r="BW150" s="47"/>
      <c r="BX150" s="194"/>
      <c r="BY150" s="194"/>
      <c r="BZ150" s="194"/>
      <c r="CA150" s="194"/>
      <c r="CB150" s="194"/>
      <c r="CC150" s="47"/>
      <c r="CD150" s="47"/>
      <c r="CE150" s="47"/>
      <c r="CF150" s="47"/>
      <c r="CG150" s="47"/>
      <c r="CH150" s="47"/>
      <c r="CI150" s="47"/>
      <c r="CJ150" s="47"/>
      <c r="CK150" s="47"/>
      <c r="CL150" s="194"/>
      <c r="CM150" s="47"/>
      <c r="CN150" s="47"/>
      <c r="CO150" s="47"/>
      <c r="CP150" s="47"/>
      <c r="CQ150" s="47"/>
      <c r="CR150" s="47"/>
      <c r="CS150" s="198"/>
      <c r="CT150" s="47"/>
      <c r="CU150" s="47"/>
      <c r="CV150" s="47"/>
      <c r="CW150" s="47"/>
      <c r="CX150" s="194"/>
      <c r="CY150" s="47"/>
      <c r="CZ150" s="47"/>
      <c r="DA150" s="47"/>
      <c r="DB150" s="47"/>
      <c r="DC150" s="47"/>
      <c r="DD150" s="47"/>
      <c r="DE150" s="47"/>
      <c r="DF150" s="47"/>
      <c r="DG150" s="47"/>
      <c r="DH150" s="47"/>
      <c r="DI150" s="47"/>
      <c r="DJ150" s="47"/>
      <c r="DK150" s="47"/>
      <c r="DL150" s="47"/>
      <c r="DM150" s="47"/>
      <c r="DN150" s="47"/>
      <c r="DO150" s="47"/>
      <c r="DP150" s="47"/>
      <c r="DQ150" s="47"/>
      <c r="DR150" s="47"/>
      <c r="DS150" s="47"/>
      <c r="DT150" s="47"/>
      <c r="DU150" s="47"/>
      <c r="DV150" s="47"/>
      <c r="DW150" s="198"/>
      <c r="DX150" s="47"/>
      <c r="DY150" s="194"/>
      <c r="DZ150" s="47"/>
      <c r="EA150" s="47"/>
      <c r="EB150" s="194"/>
      <c r="EC150" s="47"/>
      <c r="ED150" s="195"/>
      <c r="EE150" s="195"/>
      <c r="EF150" s="195"/>
      <c r="EG150" s="195"/>
      <c r="EH150" s="195"/>
      <c r="EI150" s="196"/>
      <c r="EJ150" s="201"/>
      <c r="EK150" s="202"/>
      <c r="FA150" s="251">
        <f t="shared" si="11"/>
        <v>0</v>
      </c>
    </row>
    <row r="151" spans="1:157" s="89" customFormat="1" ht="20.149999999999999" customHeight="1" x14ac:dyDescent="0.35">
      <c r="A151" s="47"/>
      <c r="B151" s="189" t="s">
        <v>1259</v>
      </c>
      <c r="C151" s="189" t="s">
        <v>1500</v>
      </c>
      <c r="D151" s="2" t="s">
        <v>770</v>
      </c>
      <c r="E151" s="2" t="s">
        <v>799</v>
      </c>
      <c r="F151" s="2" t="s">
        <v>1323</v>
      </c>
      <c r="G151" s="2" t="s">
        <v>570</v>
      </c>
      <c r="H151" s="57">
        <v>0.57999999999999996</v>
      </c>
      <c r="I151" s="47"/>
      <c r="J151" s="47"/>
      <c r="K151" s="47"/>
      <c r="L151" s="47"/>
      <c r="M151" s="47"/>
      <c r="N151" s="194"/>
      <c r="O151" s="194"/>
      <c r="P151" s="194"/>
      <c r="Q151" s="194"/>
      <c r="R151" s="47"/>
      <c r="S151" s="194"/>
      <c r="T151" s="47"/>
      <c r="U151" s="194"/>
      <c r="V151" s="47"/>
      <c r="W151" s="194"/>
      <c r="X151" s="47"/>
      <c r="Y151" s="194"/>
      <c r="Z151" s="194"/>
      <c r="AA151" s="47"/>
      <c r="AB151" s="47"/>
      <c r="AC151" s="47"/>
      <c r="AD151" s="47"/>
      <c r="AE151" s="194"/>
      <c r="AF151" s="194"/>
      <c r="AG151" s="194"/>
      <c r="AI151" s="47"/>
      <c r="AJ151" s="198"/>
      <c r="AK151" s="47"/>
      <c r="AL151" s="47"/>
      <c r="AM151" s="47"/>
      <c r="AN151" s="47"/>
      <c r="AO151" s="47"/>
      <c r="AP151" s="194"/>
      <c r="AQ151" s="47"/>
      <c r="AR151" s="47"/>
      <c r="AS151" s="47"/>
      <c r="AT151" s="194"/>
      <c r="AU151" s="194"/>
      <c r="AV151" s="194"/>
      <c r="AW151" s="194"/>
      <c r="AX151" s="194"/>
      <c r="AY151" s="194"/>
      <c r="AZ151" s="194"/>
      <c r="BA151" s="194"/>
      <c r="BB151" s="194"/>
      <c r="BC151" s="194"/>
      <c r="BD151" s="194"/>
      <c r="BE151" s="194"/>
      <c r="BF151" s="194"/>
      <c r="BG151" s="194"/>
      <c r="BH151" s="194"/>
      <c r="BI151" s="194"/>
      <c r="BJ151" s="194"/>
      <c r="BK151" s="194"/>
      <c r="BL151" s="194"/>
      <c r="BM151" s="194"/>
      <c r="BN151" s="194"/>
      <c r="BO151" s="194"/>
      <c r="BP151" s="194"/>
      <c r="BQ151" s="47"/>
      <c r="BR151" s="194"/>
      <c r="BS151" s="47"/>
      <c r="BT151" s="47"/>
      <c r="BU151" s="47"/>
      <c r="BV151" s="47"/>
      <c r="BW151" s="47"/>
      <c r="BX151" s="194"/>
      <c r="BY151" s="194"/>
      <c r="BZ151" s="194"/>
      <c r="CA151" s="194"/>
      <c r="CB151" s="194"/>
      <c r="CC151" s="47"/>
      <c r="CD151" s="47"/>
      <c r="CE151" s="47"/>
      <c r="CF151" s="47"/>
      <c r="CG151" s="47"/>
      <c r="CH151" s="47"/>
      <c r="CI151" s="47"/>
      <c r="CJ151" s="47"/>
      <c r="CK151" s="47"/>
      <c r="CL151" s="194"/>
      <c r="CM151" s="47"/>
      <c r="CN151" s="47"/>
      <c r="CO151" s="47"/>
      <c r="CP151" s="47"/>
      <c r="CQ151" s="47"/>
      <c r="CR151" s="47"/>
      <c r="CS151" s="198"/>
      <c r="CT151" s="47"/>
      <c r="CU151" s="47"/>
      <c r="CV151" s="47">
        <v>0.9</v>
      </c>
      <c r="CW151" s="47"/>
      <c r="CX151" s="194"/>
      <c r="CY151" s="47"/>
      <c r="CZ151" s="47"/>
      <c r="DA151" s="47"/>
      <c r="DB151" s="47"/>
      <c r="DC151" s="47"/>
      <c r="DD151" s="47"/>
      <c r="DE151" s="47"/>
      <c r="DF151" s="47"/>
      <c r="DG151" s="47"/>
      <c r="DH151" s="47"/>
      <c r="DI151" s="47"/>
      <c r="DJ151" s="47"/>
      <c r="DK151" s="47"/>
      <c r="DL151" s="47"/>
      <c r="DM151" s="47"/>
      <c r="DN151" s="47"/>
      <c r="DO151" s="47"/>
      <c r="DP151" s="47"/>
      <c r="DQ151" s="47"/>
      <c r="DR151" s="47"/>
      <c r="DS151" s="47"/>
      <c r="DT151" s="47"/>
      <c r="DU151" s="47"/>
      <c r="DV151" s="47"/>
      <c r="DW151" s="198"/>
      <c r="DX151" s="47"/>
      <c r="DY151" s="194"/>
      <c r="DZ151" s="47"/>
      <c r="EA151" s="47"/>
      <c r="EB151" s="194"/>
      <c r="EC151" s="47"/>
      <c r="ED151" s="195"/>
      <c r="EE151" s="195"/>
      <c r="EF151" s="195"/>
      <c r="EG151" s="195"/>
      <c r="EH151" s="195"/>
      <c r="EI151" s="196"/>
      <c r="EJ151" s="201"/>
      <c r="EK151" s="202"/>
      <c r="FA151" s="251">
        <f t="shared" si="11"/>
        <v>0.57999999999999996</v>
      </c>
    </row>
    <row r="152" spans="1:157" s="89" customFormat="1" ht="20.149999999999999" customHeight="1" x14ac:dyDescent="0.35">
      <c r="A152" s="47"/>
      <c r="B152" s="47" t="s">
        <v>1438</v>
      </c>
      <c r="C152" s="189" t="s">
        <v>1439</v>
      </c>
      <c r="D152" s="2" t="s">
        <v>636</v>
      </c>
      <c r="E152" s="2" t="s">
        <v>33</v>
      </c>
      <c r="F152" s="2" t="s">
        <v>65</v>
      </c>
      <c r="G152" s="2" t="s">
        <v>45</v>
      </c>
      <c r="H152" s="57">
        <v>15.5</v>
      </c>
      <c r="I152" s="47"/>
      <c r="J152" s="47"/>
      <c r="K152" s="47"/>
      <c r="L152" s="47"/>
      <c r="M152" s="47"/>
      <c r="N152" s="194"/>
      <c r="O152" s="194"/>
      <c r="P152" s="194"/>
      <c r="Q152" s="194"/>
      <c r="R152" s="47"/>
      <c r="S152" s="194"/>
      <c r="T152" s="47"/>
      <c r="U152" s="194"/>
      <c r="V152" s="47"/>
      <c r="W152" s="194"/>
      <c r="X152" s="47"/>
      <c r="Y152" s="194"/>
      <c r="Z152" s="194"/>
      <c r="AA152" s="47"/>
      <c r="AB152" s="47"/>
      <c r="AC152" s="47"/>
      <c r="AD152" s="47"/>
      <c r="AE152" s="194"/>
      <c r="AF152" s="194"/>
      <c r="AG152" s="194"/>
      <c r="AI152" s="47"/>
      <c r="AJ152" s="198"/>
      <c r="AK152" s="47"/>
      <c r="AL152" s="47"/>
      <c r="AM152" s="47"/>
      <c r="AN152" s="47"/>
      <c r="AO152" s="47"/>
      <c r="AP152" s="194"/>
      <c r="AQ152" s="47"/>
      <c r="AR152" s="47"/>
      <c r="AS152" s="47"/>
      <c r="AT152" s="194"/>
      <c r="AU152" s="194"/>
      <c r="AV152" s="194"/>
      <c r="AW152" s="194"/>
      <c r="AX152" s="194"/>
      <c r="AY152" s="194"/>
      <c r="AZ152" s="194"/>
      <c r="BA152" s="194"/>
      <c r="BB152" s="194"/>
      <c r="BC152" s="194"/>
      <c r="BD152" s="194"/>
      <c r="BE152" s="194"/>
      <c r="BF152" s="194"/>
      <c r="BG152" s="194"/>
      <c r="BH152" s="194"/>
      <c r="BI152" s="194"/>
      <c r="BJ152" s="194"/>
      <c r="BK152" s="194"/>
      <c r="BL152" s="194"/>
      <c r="BM152" s="194"/>
      <c r="BN152" s="194"/>
      <c r="BO152" s="194"/>
      <c r="BP152" s="194"/>
      <c r="BQ152" s="47"/>
      <c r="BR152" s="194"/>
      <c r="BS152" s="47"/>
      <c r="BT152" s="47"/>
      <c r="BU152" s="47"/>
      <c r="BV152" s="47"/>
      <c r="BW152" s="47"/>
      <c r="BX152" s="194"/>
      <c r="BY152" s="194"/>
      <c r="BZ152" s="194"/>
      <c r="CA152" s="194"/>
      <c r="CB152" s="194"/>
      <c r="CC152" s="47"/>
      <c r="CD152" s="47"/>
      <c r="CE152" s="47"/>
      <c r="CF152" s="47"/>
      <c r="CG152" s="47"/>
      <c r="CH152" s="47"/>
      <c r="CI152" s="47"/>
      <c r="CJ152" s="47"/>
      <c r="CK152" s="47"/>
      <c r="CL152" s="194"/>
      <c r="CM152" s="47"/>
      <c r="CN152" s="47"/>
      <c r="CO152" s="47"/>
      <c r="CP152" s="47"/>
      <c r="CQ152" s="47"/>
      <c r="CR152" s="47"/>
      <c r="CS152" s="198"/>
      <c r="CT152" s="47"/>
      <c r="CU152" s="47"/>
      <c r="CV152" s="47"/>
      <c r="CW152" s="47"/>
      <c r="CX152" s="194"/>
      <c r="CY152" s="47"/>
      <c r="CZ152" s="47"/>
      <c r="DA152" s="47"/>
      <c r="DB152" s="47"/>
      <c r="DC152" s="47"/>
      <c r="DD152" s="47"/>
      <c r="DE152" s="47"/>
      <c r="DF152" s="47"/>
      <c r="DG152" s="47"/>
      <c r="DH152" s="47"/>
      <c r="DI152" s="47"/>
      <c r="DJ152" s="47"/>
      <c r="DK152" s="47"/>
      <c r="DL152" s="47"/>
      <c r="DM152" s="47"/>
      <c r="DN152" s="47"/>
      <c r="DO152" s="47"/>
      <c r="DP152" s="47"/>
      <c r="DQ152" s="47"/>
      <c r="DR152" s="47"/>
      <c r="DS152" s="47"/>
      <c r="DT152" s="47"/>
      <c r="DU152" s="47"/>
      <c r="DV152" s="47"/>
      <c r="DW152" s="198"/>
      <c r="DX152" s="47"/>
      <c r="DY152" s="194"/>
      <c r="DZ152" s="47"/>
      <c r="EA152" s="47"/>
      <c r="EB152" s="194"/>
      <c r="EC152" s="47"/>
      <c r="ED152" s="195"/>
      <c r="EE152" s="195"/>
      <c r="EF152" s="195"/>
      <c r="EG152" s="195"/>
      <c r="EH152" s="195"/>
      <c r="EI152" s="196"/>
      <c r="EJ152" s="201"/>
      <c r="EK152" s="202"/>
      <c r="FA152" s="251">
        <f t="shared" si="11"/>
        <v>15.5</v>
      </c>
    </row>
    <row r="153" spans="1:157" s="89" customFormat="1" ht="20.149999999999999" customHeight="1" x14ac:dyDescent="0.35">
      <c r="A153" s="2"/>
      <c r="B153" s="189" t="s">
        <v>855</v>
      </c>
      <c r="C153" s="47" t="s">
        <v>1413</v>
      </c>
      <c r="D153" s="2" t="s">
        <v>299</v>
      </c>
      <c r="E153" s="2" t="s">
        <v>99</v>
      </c>
      <c r="F153" s="48" t="s">
        <v>380</v>
      </c>
      <c r="G153" s="48" t="s">
        <v>71</v>
      </c>
      <c r="H153" s="328">
        <f>55*1.08</f>
        <v>59.400000000000006</v>
      </c>
      <c r="I153" s="47"/>
      <c r="J153" s="47">
        <v>68</v>
      </c>
      <c r="K153" s="47"/>
      <c r="L153" s="47">
        <v>68</v>
      </c>
      <c r="M153" s="47"/>
      <c r="N153" s="194"/>
      <c r="O153" s="194"/>
      <c r="P153" s="194"/>
      <c r="Q153" s="194">
        <v>65</v>
      </c>
      <c r="R153" s="47"/>
      <c r="S153" s="194"/>
      <c r="T153" s="47"/>
      <c r="U153" s="194"/>
      <c r="V153" s="47"/>
      <c r="W153" s="194"/>
      <c r="X153" s="47">
        <v>68</v>
      </c>
      <c r="Y153" s="194"/>
      <c r="Z153" s="194"/>
      <c r="AA153" s="47"/>
      <c r="AB153" s="47"/>
      <c r="AC153" s="47"/>
      <c r="AD153" s="47"/>
      <c r="AE153" s="194"/>
      <c r="AF153" s="194"/>
      <c r="AG153" s="194"/>
      <c r="AI153" s="47"/>
      <c r="AJ153" s="223"/>
      <c r="AK153" s="47"/>
      <c r="AL153" s="47">
        <v>68</v>
      </c>
      <c r="AM153" s="47"/>
      <c r="AN153" s="47"/>
      <c r="AO153" s="47"/>
      <c r="AP153" s="194">
        <v>68</v>
      </c>
      <c r="AQ153" s="47"/>
      <c r="AR153" s="47"/>
      <c r="AS153" s="47"/>
      <c r="AT153" s="194"/>
      <c r="AU153" s="194"/>
      <c r="AV153" s="194"/>
      <c r="AW153" s="194"/>
      <c r="AX153" s="194"/>
      <c r="AY153" s="194">
        <v>68</v>
      </c>
      <c r="AZ153" s="194"/>
      <c r="BA153" s="194"/>
      <c r="BB153" s="194"/>
      <c r="BC153" s="194"/>
      <c r="BD153" s="194"/>
      <c r="BE153" s="194"/>
      <c r="BF153" s="194"/>
      <c r="BG153" s="194"/>
      <c r="BH153" s="194"/>
      <c r="BI153" s="194"/>
      <c r="BJ153" s="194"/>
      <c r="BK153" s="194"/>
      <c r="BL153" s="194"/>
      <c r="BM153" s="194"/>
      <c r="BN153" s="194"/>
      <c r="BO153" s="194"/>
      <c r="BP153" s="194"/>
      <c r="BQ153" s="47"/>
      <c r="BR153" s="194"/>
      <c r="BS153" s="47">
        <v>66</v>
      </c>
      <c r="BT153" s="47"/>
      <c r="BU153" s="47"/>
      <c r="BV153" s="47"/>
      <c r="BW153" s="47"/>
      <c r="BX153" s="194"/>
      <c r="BY153" s="194"/>
      <c r="BZ153" s="194"/>
      <c r="CA153" s="194"/>
      <c r="CB153" s="194"/>
      <c r="CC153" s="47"/>
      <c r="CD153" s="47"/>
      <c r="CE153" s="47"/>
      <c r="CF153" s="47"/>
      <c r="CG153" s="47">
        <v>66</v>
      </c>
      <c r="CH153" s="47"/>
      <c r="CI153" s="47">
        <v>68</v>
      </c>
      <c r="CJ153" s="47"/>
      <c r="CK153" s="194"/>
      <c r="CL153" s="324">
        <v>68</v>
      </c>
      <c r="CM153" s="47"/>
      <c r="CN153" s="47"/>
      <c r="CO153" s="47">
        <v>68</v>
      </c>
      <c r="CP153" s="47">
        <v>68</v>
      </c>
      <c r="CQ153" s="47"/>
      <c r="CR153" s="47"/>
      <c r="CS153" s="47"/>
      <c r="CT153" s="47"/>
      <c r="CU153" s="47"/>
      <c r="CV153" s="47"/>
      <c r="CW153" s="47"/>
      <c r="CX153" s="194">
        <v>68</v>
      </c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>
        <v>68</v>
      </c>
      <c r="DK153" s="47"/>
      <c r="DL153" s="47"/>
      <c r="DM153" s="47"/>
      <c r="DN153" s="47"/>
      <c r="DO153" s="47"/>
      <c r="DP153" s="47">
        <v>65</v>
      </c>
      <c r="DQ153" s="47"/>
      <c r="DR153" s="47"/>
      <c r="DS153" s="47"/>
      <c r="DT153" s="47"/>
      <c r="DU153" s="47"/>
      <c r="DV153" s="47"/>
      <c r="DW153" s="198"/>
      <c r="DX153" s="47"/>
      <c r="DY153" s="194"/>
      <c r="DZ153" s="47"/>
      <c r="EA153" s="47"/>
      <c r="EB153" s="194"/>
      <c r="EC153" s="47"/>
      <c r="ED153" s="195"/>
      <c r="EE153" s="195"/>
      <c r="EF153" s="195"/>
      <c r="EG153" s="195"/>
      <c r="EH153" s="195">
        <v>27</v>
      </c>
      <c r="EI153" s="196">
        <f t="shared" si="8"/>
        <v>1603.8000000000002</v>
      </c>
      <c r="EJ153" s="201">
        <f t="shared" si="9"/>
        <v>75.438000000000002</v>
      </c>
      <c r="EK153" s="202">
        <v>60</v>
      </c>
      <c r="FA153" s="251">
        <f t="shared" si="11"/>
        <v>59.400000000000006</v>
      </c>
    </row>
    <row r="154" spans="1:157" s="89" customFormat="1" ht="20.149999999999999" customHeight="1" x14ac:dyDescent="0.35">
      <c r="A154" s="2"/>
      <c r="B154" s="189" t="s">
        <v>915</v>
      </c>
      <c r="C154" s="47" t="s">
        <v>1413</v>
      </c>
      <c r="D154" s="2" t="s">
        <v>299</v>
      </c>
      <c r="E154" s="2" t="s">
        <v>99</v>
      </c>
      <c r="F154" s="193" t="s">
        <v>700</v>
      </c>
      <c r="G154" s="48" t="s">
        <v>37</v>
      </c>
      <c r="H154" s="328">
        <f>H153/14*2.1*1.2</f>
        <v>10.692</v>
      </c>
      <c r="I154" s="47"/>
      <c r="J154" s="47"/>
      <c r="K154" s="47"/>
      <c r="L154" s="47"/>
      <c r="M154" s="47"/>
      <c r="N154" s="194"/>
      <c r="O154" s="194"/>
      <c r="P154" s="194"/>
      <c r="Q154" s="194">
        <v>11.5</v>
      </c>
      <c r="R154" s="47"/>
      <c r="S154" s="194">
        <v>11.5</v>
      </c>
      <c r="T154" s="47"/>
      <c r="U154" s="194"/>
      <c r="V154" s="47"/>
      <c r="W154" s="194"/>
      <c r="X154" s="47"/>
      <c r="Y154" s="194"/>
      <c r="Z154" s="194"/>
      <c r="AA154" s="47"/>
      <c r="AB154" s="47">
        <v>11.5</v>
      </c>
      <c r="AC154" s="47"/>
      <c r="AD154" s="47"/>
      <c r="AE154" s="194"/>
      <c r="AF154" s="194"/>
      <c r="AG154" s="194"/>
      <c r="AI154" s="47"/>
      <c r="AJ154" s="223"/>
      <c r="AK154" s="47"/>
      <c r="AL154" s="47"/>
      <c r="AM154" s="47"/>
      <c r="AN154" s="47"/>
      <c r="AO154" s="47"/>
      <c r="AP154" s="194"/>
      <c r="AQ154" s="47"/>
      <c r="AR154" s="47"/>
      <c r="AS154" s="47">
        <v>11.5</v>
      </c>
      <c r="AT154" s="194">
        <v>11.5</v>
      </c>
      <c r="AU154" s="194"/>
      <c r="AV154" s="194"/>
      <c r="AW154" s="194"/>
      <c r="AX154" s="194"/>
      <c r="AY154" s="194">
        <v>11.5</v>
      </c>
      <c r="AZ154" s="194"/>
      <c r="BA154" s="194"/>
      <c r="BB154" s="194"/>
      <c r="BC154" s="194"/>
      <c r="BD154" s="194"/>
      <c r="BE154" s="194"/>
      <c r="BF154" s="194"/>
      <c r="BG154" s="194"/>
      <c r="BH154" s="194"/>
      <c r="BI154" s="194"/>
      <c r="BJ154" s="194"/>
      <c r="BK154" s="194"/>
      <c r="BL154" s="194">
        <v>12</v>
      </c>
      <c r="BM154" s="194">
        <v>11.5</v>
      </c>
      <c r="BN154" s="194"/>
      <c r="BO154" s="194"/>
      <c r="BP154" s="194"/>
      <c r="BQ154" s="47"/>
      <c r="BR154" s="194"/>
      <c r="BS154" s="47"/>
      <c r="BT154" s="47"/>
      <c r="BU154" s="47"/>
      <c r="BV154" s="47"/>
      <c r="BW154" s="47"/>
      <c r="BX154" s="194">
        <v>12</v>
      </c>
      <c r="BY154" s="194"/>
      <c r="BZ154" s="194">
        <v>11.5</v>
      </c>
      <c r="CA154" s="194"/>
      <c r="CB154" s="194"/>
      <c r="CC154" s="47"/>
      <c r="CD154" s="47"/>
      <c r="CE154" s="47"/>
      <c r="CF154" s="47"/>
      <c r="CG154" s="47">
        <v>13</v>
      </c>
      <c r="CH154" s="47"/>
      <c r="CI154" s="47"/>
      <c r="CJ154" s="47"/>
      <c r="CK154" s="194"/>
      <c r="CL154" s="194"/>
      <c r="CM154" s="47"/>
      <c r="CN154" s="47"/>
      <c r="CO154" s="47"/>
      <c r="CP154" s="47"/>
      <c r="CQ154" s="47"/>
      <c r="CR154" s="47"/>
      <c r="CS154" s="198">
        <v>11.5</v>
      </c>
      <c r="CT154" s="47"/>
      <c r="CU154" s="47"/>
      <c r="CV154" s="47"/>
      <c r="CW154" s="47"/>
      <c r="CX154" s="194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>
        <v>11.5</v>
      </c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198">
        <v>11</v>
      </c>
      <c r="DX154" s="47"/>
      <c r="DY154" s="194"/>
      <c r="DZ154" s="198"/>
      <c r="EA154" s="47"/>
      <c r="EB154" s="194"/>
      <c r="EC154" s="47"/>
      <c r="ED154" s="195"/>
      <c r="EE154" s="195"/>
      <c r="EF154" s="195"/>
      <c r="EG154" s="195"/>
      <c r="EH154" s="195">
        <v>16</v>
      </c>
      <c r="EI154" s="196">
        <f t="shared" si="8"/>
        <v>171.072</v>
      </c>
      <c r="EJ154" s="201">
        <f t="shared" si="9"/>
        <v>13.57884</v>
      </c>
      <c r="EK154" s="202">
        <v>10.5</v>
      </c>
      <c r="FA154" s="251">
        <f t="shared" si="11"/>
        <v>10.692</v>
      </c>
    </row>
    <row r="155" spans="1:157" s="89" customFormat="1" ht="20.149999999999999" customHeight="1" x14ac:dyDescent="0.35">
      <c r="A155" s="2"/>
      <c r="B155" s="189" t="s">
        <v>916</v>
      </c>
      <c r="C155" s="47" t="s">
        <v>1413</v>
      </c>
      <c r="D155" s="2" t="s">
        <v>299</v>
      </c>
      <c r="E155" s="2" t="s">
        <v>99</v>
      </c>
      <c r="F155" s="193" t="s">
        <v>1358</v>
      </c>
      <c r="G155" s="48" t="s">
        <v>37</v>
      </c>
      <c r="H155" s="328">
        <f>H153/14*1.6*1.2</f>
        <v>8.1462857142857139</v>
      </c>
      <c r="I155" s="47"/>
      <c r="J155" s="47"/>
      <c r="K155" s="47"/>
      <c r="L155" s="47"/>
      <c r="M155" s="47">
        <v>10.5</v>
      </c>
      <c r="N155" s="194"/>
      <c r="O155" s="194"/>
      <c r="P155" s="194"/>
      <c r="Q155" s="194"/>
      <c r="R155" s="47"/>
      <c r="S155" s="194"/>
      <c r="T155" s="47"/>
      <c r="U155" s="194"/>
      <c r="V155" s="47"/>
      <c r="W155" s="194"/>
      <c r="X155" s="47"/>
      <c r="Y155" s="194"/>
      <c r="Z155" s="194"/>
      <c r="AA155" s="47"/>
      <c r="AB155" s="47"/>
      <c r="AC155" s="47"/>
      <c r="AD155" s="47"/>
      <c r="AE155" s="194"/>
      <c r="AF155" s="194">
        <v>10</v>
      </c>
      <c r="AG155" s="194"/>
      <c r="AI155" s="47"/>
      <c r="AJ155" s="223"/>
      <c r="AK155" s="47"/>
      <c r="AL155" s="47"/>
      <c r="AM155" s="47"/>
      <c r="AN155" s="47"/>
      <c r="AO155" s="47"/>
      <c r="AP155" s="194"/>
      <c r="AQ155" s="47"/>
      <c r="AR155" s="47">
        <v>9.8000000000000007</v>
      </c>
      <c r="AS155" s="47"/>
      <c r="AT155" s="194"/>
      <c r="AU155" s="194"/>
      <c r="AV155" s="194"/>
      <c r="AW155" s="194"/>
      <c r="AX155" s="194"/>
      <c r="AY155" s="194"/>
      <c r="AZ155" s="194"/>
      <c r="BA155" s="194"/>
      <c r="BB155" s="194"/>
      <c r="BC155" s="194"/>
      <c r="BD155" s="194"/>
      <c r="BE155" s="194"/>
      <c r="BF155" s="194"/>
      <c r="BG155" s="194"/>
      <c r="BH155" s="194"/>
      <c r="BI155" s="194"/>
      <c r="BJ155" s="194"/>
      <c r="BK155" s="194"/>
      <c r="BL155" s="194"/>
      <c r="BM155" s="194"/>
      <c r="BN155" s="194"/>
      <c r="BO155" s="194"/>
      <c r="BP155" s="194"/>
      <c r="BQ155" s="47"/>
      <c r="BR155" s="194"/>
      <c r="BS155" s="47"/>
      <c r="BT155" s="47"/>
      <c r="BU155" s="47">
        <v>12</v>
      </c>
      <c r="BV155" s="47"/>
      <c r="BW155" s="47"/>
      <c r="BX155" s="194">
        <v>9.8000000000000007</v>
      </c>
      <c r="BY155" s="194"/>
      <c r="BZ155" s="194"/>
      <c r="CA155" s="194"/>
      <c r="CB155" s="194"/>
      <c r="CC155" s="47"/>
      <c r="CD155" s="47">
        <v>9.8000000000000007</v>
      </c>
      <c r="CE155" s="47"/>
      <c r="CF155" s="47"/>
      <c r="CG155" s="47"/>
      <c r="CH155" s="47"/>
      <c r="CI155" s="47"/>
      <c r="CJ155" s="47"/>
      <c r="CK155" s="194"/>
      <c r="CL155" s="194"/>
      <c r="CM155" s="47"/>
      <c r="CN155" s="47"/>
      <c r="CO155" s="47"/>
      <c r="CP155" s="47"/>
      <c r="CQ155" s="47">
        <v>9.8000000000000007</v>
      </c>
      <c r="CR155" s="47"/>
      <c r="CS155" s="198"/>
      <c r="CT155" s="47"/>
      <c r="CU155" s="47">
        <v>10.5</v>
      </c>
      <c r="CV155" s="47">
        <v>9.8000000000000007</v>
      </c>
      <c r="CW155" s="47"/>
      <c r="CX155" s="194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198"/>
      <c r="DX155" s="47"/>
      <c r="DY155" s="194"/>
      <c r="DZ155" s="198"/>
      <c r="EA155" s="47"/>
      <c r="EB155" s="194"/>
      <c r="EC155" s="47"/>
      <c r="ED155" s="195"/>
      <c r="EE155" s="195"/>
      <c r="EF155" s="195"/>
      <c r="EG155" s="195"/>
      <c r="EH155" s="195">
        <v>35</v>
      </c>
      <c r="EI155" s="196">
        <f t="shared" si="8"/>
        <v>285.12</v>
      </c>
      <c r="EJ155" s="201">
        <f t="shared" si="9"/>
        <v>10.345782857142856</v>
      </c>
      <c r="EK155" s="202">
        <v>9</v>
      </c>
      <c r="FA155" s="251">
        <f t="shared" si="11"/>
        <v>8.1462857142857139</v>
      </c>
    </row>
    <row r="156" spans="1:157" s="89" customFormat="1" ht="20.149999999999999" customHeight="1" x14ac:dyDescent="0.35">
      <c r="A156" s="2"/>
      <c r="B156" s="189" t="s">
        <v>917</v>
      </c>
      <c r="C156" s="47" t="s">
        <v>1413</v>
      </c>
      <c r="D156" s="2" t="s">
        <v>299</v>
      </c>
      <c r="E156" s="2" t="s">
        <v>99</v>
      </c>
      <c r="F156" s="48" t="s">
        <v>1180</v>
      </c>
      <c r="G156" s="48" t="s">
        <v>37</v>
      </c>
      <c r="H156" s="57"/>
      <c r="I156" s="47"/>
      <c r="J156" s="47"/>
      <c r="K156" s="47"/>
      <c r="L156" s="47"/>
      <c r="M156" s="47"/>
      <c r="N156" s="194"/>
      <c r="O156" s="194"/>
      <c r="P156" s="194"/>
      <c r="Q156" s="194"/>
      <c r="R156" s="47"/>
      <c r="S156" s="194"/>
      <c r="T156" s="47"/>
      <c r="U156" s="194"/>
      <c r="V156" s="47"/>
      <c r="W156" s="194"/>
      <c r="X156" s="47"/>
      <c r="Y156" s="194"/>
      <c r="Z156" s="194"/>
      <c r="AA156" s="47"/>
      <c r="AB156" s="47"/>
      <c r="AC156" s="47"/>
      <c r="AD156" s="47"/>
      <c r="AE156" s="194"/>
      <c r="AF156" s="194"/>
      <c r="AG156" s="194"/>
      <c r="AI156" s="47"/>
      <c r="AJ156" s="223"/>
      <c r="AK156" s="47"/>
      <c r="AL156" s="47"/>
      <c r="AM156" s="47"/>
      <c r="AN156" s="47"/>
      <c r="AO156" s="47"/>
      <c r="AP156" s="194"/>
      <c r="AQ156" s="47"/>
      <c r="AR156" s="47"/>
      <c r="AS156" s="47"/>
      <c r="AT156" s="194"/>
      <c r="AU156" s="194"/>
      <c r="AV156" s="194"/>
      <c r="AW156" s="194"/>
      <c r="AX156" s="194"/>
      <c r="AY156" s="194"/>
      <c r="AZ156" s="194"/>
      <c r="BA156" s="194"/>
      <c r="BB156" s="194"/>
      <c r="BC156" s="194"/>
      <c r="BD156" s="194"/>
      <c r="BE156" s="194"/>
      <c r="BF156" s="194"/>
      <c r="BG156" s="194"/>
      <c r="BH156" s="194"/>
      <c r="BI156" s="194"/>
      <c r="BJ156" s="194"/>
      <c r="BK156" s="194"/>
      <c r="BL156" s="194"/>
      <c r="BM156" s="194"/>
      <c r="BN156" s="194"/>
      <c r="BO156" s="194"/>
      <c r="BP156" s="194"/>
      <c r="BQ156" s="47"/>
      <c r="BR156" s="194"/>
      <c r="BS156" s="47"/>
      <c r="BT156" s="47"/>
      <c r="BU156" s="47"/>
      <c r="BV156" s="47"/>
      <c r="BW156" s="47"/>
      <c r="BX156" s="194"/>
      <c r="BY156" s="194"/>
      <c r="BZ156" s="194"/>
      <c r="CA156" s="194"/>
      <c r="CB156" s="194"/>
      <c r="CC156" s="47"/>
      <c r="CD156" s="47"/>
      <c r="CE156" s="47"/>
      <c r="CF156" s="47"/>
      <c r="CG156" s="47"/>
      <c r="CH156" s="47"/>
      <c r="CI156" s="47"/>
      <c r="CJ156" s="47"/>
      <c r="CK156" s="194"/>
      <c r="CL156" s="194"/>
      <c r="CM156" s="47"/>
      <c r="CN156" s="47"/>
      <c r="CO156" s="47"/>
      <c r="CP156" s="47"/>
      <c r="CQ156" s="47"/>
      <c r="CR156" s="47"/>
      <c r="CS156" s="198"/>
      <c r="CT156" s="47"/>
      <c r="CU156" s="47"/>
      <c r="CV156" s="47"/>
      <c r="CW156" s="47"/>
      <c r="CX156" s="194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>
        <v>2</v>
      </c>
      <c r="DV156" s="47"/>
      <c r="DW156" s="198"/>
      <c r="DX156" s="47"/>
      <c r="DY156" s="194"/>
      <c r="DZ156" s="198"/>
      <c r="EA156" s="47"/>
      <c r="EB156" s="194"/>
      <c r="EC156" s="47"/>
      <c r="ED156" s="195"/>
      <c r="EE156" s="195"/>
      <c r="EF156" s="195"/>
      <c r="EG156" s="195"/>
      <c r="EH156" s="195">
        <v>0</v>
      </c>
      <c r="EI156" s="196">
        <f t="shared" si="8"/>
        <v>0</v>
      </c>
      <c r="EJ156" s="201">
        <f t="shared" si="9"/>
        <v>0</v>
      </c>
      <c r="EK156" s="202">
        <v>0</v>
      </c>
      <c r="FA156" s="251">
        <f t="shared" si="11"/>
        <v>0</v>
      </c>
    </row>
    <row r="157" spans="1:157" s="89" customFormat="1" ht="20.149999999999999" customHeight="1" x14ac:dyDescent="0.35">
      <c r="A157" s="2"/>
      <c r="B157" s="189" t="s">
        <v>918</v>
      </c>
      <c r="C157" s="47" t="s">
        <v>1412</v>
      </c>
      <c r="D157" s="2" t="s">
        <v>638</v>
      </c>
      <c r="E157" s="2" t="s">
        <v>631</v>
      </c>
      <c r="F157" s="48" t="s">
        <v>62</v>
      </c>
      <c r="G157" s="48" t="s">
        <v>35</v>
      </c>
      <c r="H157" s="328">
        <f>4*1.08</f>
        <v>4.32</v>
      </c>
      <c r="I157" s="47"/>
      <c r="J157" s="89">
        <v>5.5</v>
      </c>
      <c r="K157" s="47"/>
      <c r="L157" s="47">
        <v>6</v>
      </c>
      <c r="M157" s="47"/>
      <c r="N157" s="194"/>
      <c r="O157" s="194"/>
      <c r="P157" s="194"/>
      <c r="Q157" s="194"/>
      <c r="R157" s="47"/>
      <c r="S157" s="194">
        <v>5</v>
      </c>
      <c r="T157" s="47"/>
      <c r="U157" s="194"/>
      <c r="V157" s="47"/>
      <c r="W157" s="194"/>
      <c r="X157" s="47"/>
      <c r="Y157" s="194"/>
      <c r="Z157" s="194"/>
      <c r="AA157" s="47"/>
      <c r="AB157" s="47">
        <v>5.5</v>
      </c>
      <c r="AC157" s="47">
        <v>5.5</v>
      </c>
      <c r="AD157" s="47">
        <v>5</v>
      </c>
      <c r="AE157" s="194"/>
      <c r="AF157" s="194">
        <v>5.5</v>
      </c>
      <c r="AG157" s="194">
        <v>5.5</v>
      </c>
      <c r="AI157" s="47"/>
      <c r="AJ157" s="223"/>
      <c r="AK157" s="47"/>
      <c r="AL157" s="47"/>
      <c r="AM157" s="47"/>
      <c r="AN157" s="47">
        <v>5</v>
      </c>
      <c r="AO157" s="47"/>
      <c r="AP157" s="194"/>
      <c r="AQ157" s="47"/>
      <c r="AR157" s="47">
        <v>5</v>
      </c>
      <c r="AS157" s="47">
        <v>5</v>
      </c>
      <c r="AT157" s="194">
        <v>5</v>
      </c>
      <c r="AU157" s="194"/>
      <c r="AV157" s="194"/>
      <c r="AW157" s="194"/>
      <c r="AX157" s="194"/>
      <c r="AY157" s="194">
        <v>5</v>
      </c>
      <c r="AZ157" s="194"/>
      <c r="BA157" s="194"/>
      <c r="BB157" s="194"/>
      <c r="BC157" s="194"/>
      <c r="BD157" s="194"/>
      <c r="BE157" s="194"/>
      <c r="BF157" s="194"/>
      <c r="BG157" s="194">
        <v>5.5</v>
      </c>
      <c r="BH157" s="194"/>
      <c r="BI157" s="194"/>
      <c r="BJ157" s="194"/>
      <c r="BK157" s="194"/>
      <c r="BL157" s="194"/>
      <c r="BM157" s="194">
        <v>5</v>
      </c>
      <c r="BN157" s="194"/>
      <c r="BO157" s="194"/>
      <c r="BP157" s="194"/>
      <c r="BQ157" s="47">
        <v>5.5</v>
      </c>
      <c r="BR157" s="194"/>
      <c r="BS157" s="47">
        <v>5</v>
      </c>
      <c r="BT157" s="47"/>
      <c r="BU157" s="47"/>
      <c r="BV157" s="47"/>
      <c r="BW157" s="47"/>
      <c r="BX157" s="194">
        <v>5</v>
      </c>
      <c r="BY157" s="194"/>
      <c r="BZ157" s="194"/>
      <c r="CA157" s="194"/>
      <c r="CB157" s="194"/>
      <c r="CC157" s="47"/>
      <c r="CD157" s="47"/>
      <c r="CE157" s="47"/>
      <c r="CF157" s="47"/>
      <c r="CG157" s="47">
        <v>5.3</v>
      </c>
      <c r="CH157" s="47"/>
      <c r="CI157" s="47"/>
      <c r="CJ157" s="47"/>
      <c r="CK157" s="194"/>
      <c r="CL157" s="194">
        <v>5</v>
      </c>
      <c r="CM157" s="47">
        <v>5</v>
      </c>
      <c r="CN157" s="47"/>
      <c r="CO157" s="47">
        <v>5.5</v>
      </c>
      <c r="CP157" s="47"/>
      <c r="CQ157" s="47">
        <v>5</v>
      </c>
      <c r="CR157" s="47"/>
      <c r="CS157" s="198">
        <v>5</v>
      </c>
      <c r="CT157" s="47"/>
      <c r="CU157" s="47">
        <v>5.5</v>
      </c>
      <c r="CV157" s="47"/>
      <c r="CW157" s="47"/>
      <c r="CX157" s="194">
        <v>5</v>
      </c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>
        <v>5</v>
      </c>
      <c r="DK157" s="47">
        <v>5</v>
      </c>
      <c r="DL157" s="47"/>
      <c r="DM157" s="47"/>
      <c r="DN157" s="47"/>
      <c r="DO157" s="47"/>
      <c r="DP157" s="47"/>
      <c r="DQ157" s="47"/>
      <c r="DR157" s="47"/>
      <c r="DS157" s="47"/>
      <c r="DT157" s="47"/>
      <c r="DU157" s="47">
        <v>4.5</v>
      </c>
      <c r="DV157" s="47"/>
      <c r="DW157" s="198"/>
      <c r="DX157" s="47"/>
      <c r="DY157" s="194"/>
      <c r="DZ157" s="198"/>
      <c r="EA157" s="47"/>
      <c r="EB157" s="194"/>
      <c r="EC157" s="47"/>
      <c r="ED157" s="195"/>
      <c r="EE157" s="195"/>
      <c r="EF157" s="195"/>
      <c r="EG157" s="195"/>
      <c r="EH157" s="195">
        <v>36</v>
      </c>
      <c r="EI157" s="196">
        <f t="shared" si="8"/>
        <v>155.52000000000001</v>
      </c>
      <c r="EJ157" s="201">
        <f t="shared" si="9"/>
        <v>5.4864000000000006</v>
      </c>
      <c r="EK157" s="202">
        <v>4.5</v>
      </c>
      <c r="FA157" s="251">
        <f t="shared" si="11"/>
        <v>4.32</v>
      </c>
    </row>
    <row r="158" spans="1:157" s="1" customFormat="1" ht="20.149999999999999" customHeight="1" x14ac:dyDescent="0.35">
      <c r="A158" s="2"/>
      <c r="B158" s="189" t="s">
        <v>919</v>
      </c>
      <c r="C158" s="47" t="s">
        <v>176</v>
      </c>
      <c r="D158" s="2" t="s">
        <v>299</v>
      </c>
      <c r="E158" s="2" t="s">
        <v>49</v>
      </c>
      <c r="F158" s="48" t="s">
        <v>1000</v>
      </c>
      <c r="G158" s="48" t="s">
        <v>37</v>
      </c>
      <c r="H158" s="57">
        <f>6.5/2</f>
        <v>3.25</v>
      </c>
      <c r="I158" s="47"/>
      <c r="J158" s="47"/>
      <c r="K158" s="47"/>
      <c r="L158" s="47"/>
      <c r="M158" s="47"/>
      <c r="N158" s="194"/>
      <c r="O158" s="194"/>
      <c r="P158" s="194"/>
      <c r="Q158" s="194"/>
      <c r="R158" s="47"/>
      <c r="S158" s="194"/>
      <c r="T158" s="47"/>
      <c r="U158" s="194"/>
      <c r="V158" s="47"/>
      <c r="W158" s="194"/>
      <c r="X158" s="47"/>
      <c r="Y158" s="194"/>
      <c r="Z158" s="194"/>
      <c r="AA158" s="47"/>
      <c r="AB158" s="47"/>
      <c r="AC158" s="47"/>
      <c r="AD158" s="47"/>
      <c r="AE158" s="194"/>
      <c r="AF158" s="194"/>
      <c r="AG158" s="194"/>
      <c r="AI158" s="47"/>
      <c r="AJ158" s="223"/>
      <c r="AK158" s="47"/>
      <c r="AL158" s="47"/>
      <c r="AM158" s="47"/>
      <c r="AN158" s="47"/>
      <c r="AO158" s="47"/>
      <c r="AP158" s="194"/>
      <c r="AQ158" s="47"/>
      <c r="AR158" s="47"/>
      <c r="AS158" s="47">
        <v>7</v>
      </c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47"/>
      <c r="BR158" s="194"/>
      <c r="BS158" s="47"/>
      <c r="BT158" s="47"/>
      <c r="BU158" s="47"/>
      <c r="BV158" s="47"/>
      <c r="BW158" s="47"/>
      <c r="BX158" s="194"/>
      <c r="BY158" s="194"/>
      <c r="BZ158" s="194"/>
      <c r="CA158" s="194"/>
      <c r="CB158" s="194"/>
      <c r="CC158" s="47"/>
      <c r="CD158" s="47"/>
      <c r="CE158" s="47"/>
      <c r="CF158" s="47"/>
      <c r="CG158" s="47"/>
      <c r="CH158" s="47"/>
      <c r="CI158" s="47"/>
      <c r="CJ158" s="47"/>
      <c r="CK158" s="224"/>
      <c r="CL158" s="194">
        <v>6.5</v>
      </c>
      <c r="CM158" s="47"/>
      <c r="CN158" s="47"/>
      <c r="CO158" s="47">
        <v>6.5</v>
      </c>
      <c r="CP158" s="47"/>
      <c r="CQ158" s="47"/>
      <c r="CR158" s="47"/>
      <c r="CS158" s="47"/>
      <c r="CT158" s="47"/>
      <c r="CU158" s="47"/>
      <c r="CV158" s="47">
        <v>6.5</v>
      </c>
      <c r="CW158" s="47"/>
      <c r="CX158" s="194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198"/>
      <c r="DX158" s="47"/>
      <c r="DY158" s="194"/>
      <c r="DZ158" s="47"/>
      <c r="EA158" s="47"/>
      <c r="EB158" s="194"/>
      <c r="EC158" s="47"/>
      <c r="ED158" s="195"/>
      <c r="EE158" s="195"/>
      <c r="EF158" s="195"/>
      <c r="EG158" s="195"/>
      <c r="EH158" s="195">
        <f>25*2+3</f>
        <v>53</v>
      </c>
      <c r="EI158" s="196">
        <f t="shared" si="8"/>
        <v>172.25</v>
      </c>
      <c r="EJ158" s="201">
        <f t="shared" si="9"/>
        <v>4.1275000000000004</v>
      </c>
      <c r="EK158" s="202">
        <f t="shared" si="10"/>
        <v>6.625</v>
      </c>
      <c r="FA158" s="251">
        <f t="shared" si="11"/>
        <v>3.25</v>
      </c>
    </row>
    <row r="159" spans="1:157" s="1" customFormat="1" ht="20.149999999999999" customHeight="1" x14ac:dyDescent="0.35">
      <c r="A159" s="2"/>
      <c r="B159" s="189" t="s">
        <v>1319</v>
      </c>
      <c r="C159" s="47" t="s">
        <v>176</v>
      </c>
      <c r="D159" s="2" t="s">
        <v>299</v>
      </c>
      <c r="E159" s="2" t="s">
        <v>49</v>
      </c>
      <c r="F159" s="48" t="s">
        <v>31</v>
      </c>
      <c r="G159" s="48" t="s">
        <v>37</v>
      </c>
      <c r="H159" s="57">
        <f>H158*2</f>
        <v>6.5</v>
      </c>
      <c r="I159" s="47"/>
      <c r="J159" s="47"/>
      <c r="K159" s="47"/>
      <c r="L159" s="47"/>
      <c r="M159" s="47"/>
      <c r="N159" s="194"/>
      <c r="O159" s="194"/>
      <c r="P159" s="194"/>
      <c r="Q159" s="194"/>
      <c r="R159" s="47"/>
      <c r="S159" s="194"/>
      <c r="T159" s="47"/>
      <c r="U159" s="194"/>
      <c r="V159" s="47"/>
      <c r="W159" s="194"/>
      <c r="X159" s="47"/>
      <c r="Y159" s="194"/>
      <c r="Z159" s="194"/>
      <c r="AA159" s="47"/>
      <c r="AB159" s="47"/>
      <c r="AC159" s="47"/>
      <c r="AD159" s="47"/>
      <c r="AE159" s="194"/>
      <c r="AF159" s="194"/>
      <c r="AG159" s="194"/>
      <c r="AI159" s="47"/>
      <c r="AJ159" s="223"/>
      <c r="AK159" s="47"/>
      <c r="AL159" s="47"/>
      <c r="AM159" s="47"/>
      <c r="AN159" s="47"/>
      <c r="AO159" s="47"/>
      <c r="AP159" s="194"/>
      <c r="AQ159" s="47"/>
      <c r="AR159" s="47"/>
      <c r="AS159" s="47"/>
      <c r="AT159" s="194"/>
      <c r="AU159" s="194"/>
      <c r="AV159" s="194"/>
      <c r="AW159" s="194"/>
      <c r="AX159" s="194"/>
      <c r="AY159" s="194"/>
      <c r="AZ159" s="194"/>
      <c r="BA159" s="194"/>
      <c r="BB159" s="194"/>
      <c r="BC159" s="194"/>
      <c r="BD159" s="194"/>
      <c r="BE159" s="194"/>
      <c r="BF159" s="194"/>
      <c r="BG159" s="194"/>
      <c r="BH159" s="194"/>
      <c r="BI159" s="194"/>
      <c r="BJ159" s="194"/>
      <c r="BK159" s="194"/>
      <c r="BL159" s="194"/>
      <c r="BM159" s="194"/>
      <c r="BN159" s="194"/>
      <c r="BO159" s="194"/>
      <c r="BP159" s="194"/>
      <c r="BQ159" s="47"/>
      <c r="BR159" s="194"/>
      <c r="BS159" s="47"/>
      <c r="BT159" s="47"/>
      <c r="BU159" s="47"/>
      <c r="BV159" s="47"/>
      <c r="BW159" s="47"/>
      <c r="BX159" s="194"/>
      <c r="BY159" s="194"/>
      <c r="BZ159" s="194"/>
      <c r="CA159" s="194"/>
      <c r="CB159" s="194"/>
      <c r="CC159" s="47"/>
      <c r="CD159" s="47"/>
      <c r="CE159" s="47"/>
      <c r="CF159" s="47"/>
      <c r="CG159" s="47"/>
      <c r="CH159" s="47"/>
      <c r="CI159" s="47"/>
      <c r="CJ159" s="47"/>
      <c r="CK159" s="224"/>
      <c r="CL159" s="194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194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198"/>
      <c r="DX159" s="47"/>
      <c r="DY159" s="194"/>
      <c r="DZ159" s="47"/>
      <c r="EA159" s="47"/>
      <c r="EB159" s="194"/>
      <c r="EC159" s="47"/>
      <c r="ED159" s="195"/>
      <c r="EE159" s="195"/>
      <c r="EF159" s="195"/>
      <c r="EG159" s="195"/>
      <c r="EH159" s="195"/>
      <c r="EI159" s="196"/>
      <c r="EJ159" s="201"/>
      <c r="EK159" s="202"/>
      <c r="FA159" s="251">
        <f t="shared" si="11"/>
        <v>6.5</v>
      </c>
    </row>
    <row r="160" spans="1:157" s="1" customFormat="1" ht="20.149999999999999" customHeight="1" x14ac:dyDescent="0.35">
      <c r="A160" s="2"/>
      <c r="B160" s="189" t="s">
        <v>920</v>
      </c>
      <c r="C160" s="47" t="s">
        <v>1411</v>
      </c>
      <c r="D160" s="2" t="s">
        <v>637</v>
      </c>
      <c r="E160" s="48" t="s">
        <v>33</v>
      </c>
      <c r="F160" s="48" t="s">
        <v>706</v>
      </c>
      <c r="G160" s="48" t="s">
        <v>32</v>
      </c>
      <c r="H160" s="328">
        <f>(38+30)/2*1.08</f>
        <v>36.72</v>
      </c>
      <c r="I160" s="47"/>
      <c r="J160" s="47"/>
      <c r="K160" s="47"/>
      <c r="L160" s="47"/>
      <c r="M160" s="47">
        <v>52</v>
      </c>
      <c r="N160" s="194"/>
      <c r="O160" s="194"/>
      <c r="P160" s="194"/>
      <c r="Q160" s="194"/>
      <c r="R160" s="47"/>
      <c r="S160" s="194"/>
      <c r="T160" s="47"/>
      <c r="U160" s="194"/>
      <c r="V160" s="47"/>
      <c r="W160" s="194"/>
      <c r="X160" s="47"/>
      <c r="Y160" s="194"/>
      <c r="Z160" s="194"/>
      <c r="AA160" s="47"/>
      <c r="AB160" s="47"/>
      <c r="AC160" s="47"/>
      <c r="AD160" s="47"/>
      <c r="AE160" s="194"/>
      <c r="AF160" s="194"/>
      <c r="AG160" s="194"/>
      <c r="AI160" s="47"/>
      <c r="AJ160" s="198"/>
      <c r="AK160" s="47"/>
      <c r="AL160" s="47"/>
      <c r="AM160" s="47"/>
      <c r="AN160" s="47"/>
      <c r="AO160" s="47"/>
      <c r="AP160" s="194"/>
      <c r="AQ160" s="47"/>
      <c r="AR160" s="47"/>
      <c r="AS160" s="47"/>
      <c r="AT160" s="194"/>
      <c r="AU160" s="194"/>
      <c r="AV160" s="194"/>
      <c r="AW160" s="194"/>
      <c r="AX160" s="194"/>
      <c r="AY160" s="194"/>
      <c r="AZ160" s="194"/>
      <c r="BA160" s="194"/>
      <c r="BB160" s="194"/>
      <c r="BC160" s="194"/>
      <c r="BD160" s="194"/>
      <c r="BE160" s="194"/>
      <c r="BF160" s="194"/>
      <c r="BG160" s="194"/>
      <c r="BH160" s="194"/>
      <c r="BI160" s="194"/>
      <c r="BJ160" s="194"/>
      <c r="BK160" s="194"/>
      <c r="BL160" s="194"/>
      <c r="BM160" s="194"/>
      <c r="BN160" s="194"/>
      <c r="BO160" s="194"/>
      <c r="BP160" s="194"/>
      <c r="BQ160" s="47"/>
      <c r="BR160" s="194"/>
      <c r="BS160" s="47"/>
      <c r="BT160" s="47"/>
      <c r="BU160" s="47"/>
      <c r="BV160" s="47"/>
      <c r="BW160" s="47"/>
      <c r="BX160" s="194"/>
      <c r="BY160" s="194"/>
      <c r="BZ160" s="194"/>
      <c r="CA160" s="194"/>
      <c r="CB160" s="194"/>
      <c r="CC160" s="47"/>
      <c r="CD160" s="47"/>
      <c r="CE160" s="47"/>
      <c r="CF160" s="47"/>
      <c r="CG160" s="47"/>
      <c r="CH160" s="47"/>
      <c r="CI160" s="47"/>
      <c r="CJ160" s="47"/>
      <c r="CK160" s="47"/>
      <c r="CL160" s="194"/>
      <c r="CM160" s="47"/>
      <c r="CN160" s="47"/>
      <c r="CO160" s="47"/>
      <c r="CP160" s="47">
        <v>50</v>
      </c>
      <c r="CQ160" s="47"/>
      <c r="CR160" s="47"/>
      <c r="CS160" s="47"/>
      <c r="CT160" s="47"/>
      <c r="CU160" s="47"/>
      <c r="CV160" s="47"/>
      <c r="CW160" s="47"/>
      <c r="CX160" s="194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>
        <v>50</v>
      </c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198"/>
      <c r="DX160" s="47"/>
      <c r="DY160" s="194"/>
      <c r="DZ160" s="47"/>
      <c r="EA160" s="47"/>
      <c r="EB160" s="194"/>
      <c r="EC160" s="47"/>
      <c r="ED160" s="195"/>
      <c r="EE160" s="195"/>
      <c r="EF160" s="195"/>
      <c r="EG160" s="195"/>
      <c r="EH160" s="195">
        <v>2</v>
      </c>
      <c r="EI160" s="196">
        <f t="shared" si="8"/>
        <v>73.44</v>
      </c>
      <c r="EJ160" s="201">
        <f t="shared" si="9"/>
        <v>46.634399999999999</v>
      </c>
      <c r="EK160" s="202">
        <f t="shared" si="10"/>
        <v>50.666666666666664</v>
      </c>
      <c r="FA160" s="251">
        <f t="shared" si="11"/>
        <v>36.72</v>
      </c>
    </row>
    <row r="161" spans="1:157" s="1" customFormat="1" ht="20.149999999999999" customHeight="1" x14ac:dyDescent="0.35">
      <c r="A161" s="2"/>
      <c r="B161" s="189" t="s">
        <v>921</v>
      </c>
      <c r="C161" s="47" t="s">
        <v>1411</v>
      </c>
      <c r="D161" s="2" t="s">
        <v>637</v>
      </c>
      <c r="E161" s="2" t="s">
        <v>33</v>
      </c>
      <c r="F161" s="48" t="s">
        <v>524</v>
      </c>
      <c r="G161" s="48" t="s">
        <v>35</v>
      </c>
      <c r="H161" s="328">
        <f>H160/12</f>
        <v>3.06</v>
      </c>
      <c r="I161" s="47"/>
      <c r="J161" s="47">
        <v>5</v>
      </c>
      <c r="K161" s="47"/>
      <c r="L161" s="47"/>
      <c r="M161" s="47">
        <v>5</v>
      </c>
      <c r="N161" s="194"/>
      <c r="O161" s="194"/>
      <c r="P161" s="194"/>
      <c r="Q161" s="194"/>
      <c r="R161" s="47"/>
      <c r="S161" s="194"/>
      <c r="T161" s="47"/>
      <c r="U161" s="194"/>
      <c r="V161" s="47"/>
      <c r="W161" s="194"/>
      <c r="X161" s="47"/>
      <c r="Y161" s="194"/>
      <c r="Z161" s="194"/>
      <c r="AA161" s="47"/>
      <c r="AB161" s="47">
        <v>5.5</v>
      </c>
      <c r="AC161" s="47"/>
      <c r="AD161" s="47"/>
      <c r="AE161" s="194"/>
      <c r="AF161" s="194"/>
      <c r="AG161" s="194"/>
      <c r="AI161" s="47"/>
      <c r="AJ161" s="223"/>
      <c r="AK161" s="47"/>
      <c r="AL161" s="47"/>
      <c r="AM161" s="47"/>
      <c r="AN161" s="47"/>
      <c r="AO161" s="47"/>
      <c r="AP161" s="194">
        <v>5</v>
      </c>
      <c r="AQ161" s="47"/>
      <c r="AR161" s="47"/>
      <c r="AS161" s="47"/>
      <c r="AT161" s="194"/>
      <c r="AU161" s="194"/>
      <c r="AV161" s="194"/>
      <c r="AW161" s="194"/>
      <c r="AX161" s="194"/>
      <c r="AY161" s="194">
        <v>5</v>
      </c>
      <c r="AZ161" s="194"/>
      <c r="BA161" s="194"/>
      <c r="BB161" s="194"/>
      <c r="BC161" s="194"/>
      <c r="BD161" s="194"/>
      <c r="BE161" s="194"/>
      <c r="BF161" s="194"/>
      <c r="BG161" s="194"/>
      <c r="BH161" s="194"/>
      <c r="BI161" s="194"/>
      <c r="BJ161" s="194"/>
      <c r="BK161" s="194"/>
      <c r="BL161" s="194"/>
      <c r="BM161" s="194">
        <v>5</v>
      </c>
      <c r="BN161" s="194"/>
      <c r="BO161" s="194"/>
      <c r="BP161" s="194"/>
      <c r="BQ161" s="47"/>
      <c r="BR161" s="194"/>
      <c r="BS161" s="47"/>
      <c r="BT161" s="47"/>
      <c r="BU161" s="47"/>
      <c r="BV161" s="47"/>
      <c r="BW161" s="47"/>
      <c r="BX161" s="194"/>
      <c r="BY161" s="194"/>
      <c r="BZ161" s="194"/>
      <c r="CA161" s="194"/>
      <c r="CB161" s="194"/>
      <c r="CC161" s="47"/>
      <c r="CD161" s="47"/>
      <c r="CE161" s="47"/>
      <c r="CF161" s="47"/>
      <c r="CG161" s="47"/>
      <c r="CH161" s="47">
        <v>5</v>
      </c>
      <c r="CI161" s="47">
        <v>5</v>
      </c>
      <c r="CJ161" s="47"/>
      <c r="CK161" s="224"/>
      <c r="CL161" s="194"/>
      <c r="CM161" s="47"/>
      <c r="CN161" s="47"/>
      <c r="CO161" s="47"/>
      <c r="CP161" s="47"/>
      <c r="CQ161" s="47"/>
      <c r="CR161" s="47"/>
      <c r="CS161" s="198">
        <v>5</v>
      </c>
      <c r="CT161" s="47"/>
      <c r="CU161" s="47"/>
      <c r="CV161" s="47"/>
      <c r="CW161" s="47"/>
      <c r="CX161" s="194">
        <v>0</v>
      </c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198"/>
      <c r="DX161" s="47"/>
      <c r="DY161" s="194"/>
      <c r="DZ161" s="47"/>
      <c r="EA161" s="47"/>
      <c r="EB161" s="194"/>
      <c r="EC161" s="47"/>
      <c r="ED161" s="195"/>
      <c r="EE161" s="195"/>
      <c r="EF161" s="195"/>
      <c r="EG161" s="195"/>
      <c r="EH161" s="195">
        <f>24/2</f>
        <v>12</v>
      </c>
      <c r="EI161" s="196">
        <f t="shared" si="8"/>
        <v>36.72</v>
      </c>
      <c r="EJ161" s="201">
        <f t="shared" si="9"/>
        <v>3.8862000000000001</v>
      </c>
      <c r="EK161" s="202">
        <v>5</v>
      </c>
      <c r="FA161" s="251">
        <f t="shared" si="11"/>
        <v>3.06</v>
      </c>
    </row>
    <row r="162" spans="1:157" s="1" customFormat="1" ht="20.149999999999999" customHeight="1" x14ac:dyDescent="0.35">
      <c r="A162" s="47"/>
      <c r="B162" s="189" t="s">
        <v>922</v>
      </c>
      <c r="C162" s="47" t="s">
        <v>1409</v>
      </c>
      <c r="D162" s="2" t="s">
        <v>637</v>
      </c>
      <c r="E162" s="2" t="s">
        <v>33</v>
      </c>
      <c r="F162" s="48" t="s">
        <v>573</v>
      </c>
      <c r="G162" s="48" t="s">
        <v>37</v>
      </c>
      <c r="H162" s="331">
        <f>2.5*25*1.08</f>
        <v>67.5</v>
      </c>
      <c r="I162" s="47"/>
      <c r="J162" s="47"/>
      <c r="K162" s="47"/>
      <c r="L162" s="47"/>
      <c r="M162" s="47"/>
      <c r="N162" s="194"/>
      <c r="O162" s="194"/>
      <c r="P162" s="194"/>
      <c r="Q162" s="194"/>
      <c r="R162" s="47"/>
      <c r="S162" s="194"/>
      <c r="T162" s="47"/>
      <c r="U162" s="194"/>
      <c r="V162" s="47"/>
      <c r="W162" s="194"/>
      <c r="X162" s="47"/>
      <c r="Y162" s="194"/>
      <c r="Z162" s="194"/>
      <c r="AA162" s="47"/>
      <c r="AB162" s="47"/>
      <c r="AC162" s="47"/>
      <c r="AD162" s="47"/>
      <c r="AE162" s="194"/>
      <c r="AF162" s="194"/>
      <c r="AG162" s="194"/>
      <c r="AI162" s="47"/>
      <c r="AJ162" s="198"/>
      <c r="AK162" s="47"/>
      <c r="AL162" s="47"/>
      <c r="AM162" s="47"/>
      <c r="AN162" s="47"/>
      <c r="AO162" s="47"/>
      <c r="AP162" s="194"/>
      <c r="AQ162" s="47"/>
      <c r="AR162" s="47"/>
      <c r="AS162" s="47"/>
      <c r="AT162" s="194"/>
      <c r="AU162" s="194"/>
      <c r="AV162" s="194"/>
      <c r="AW162" s="194"/>
      <c r="AX162" s="194"/>
      <c r="AY162" s="194"/>
      <c r="AZ162" s="194"/>
      <c r="BA162" s="194"/>
      <c r="BB162" s="194"/>
      <c r="BC162" s="194"/>
      <c r="BD162" s="194"/>
      <c r="BE162" s="194"/>
      <c r="BF162" s="194"/>
      <c r="BG162" s="194"/>
      <c r="BH162" s="194"/>
      <c r="BI162" s="194"/>
      <c r="BJ162" s="194"/>
      <c r="BK162" s="194"/>
      <c r="BL162" s="194"/>
      <c r="BM162" s="194"/>
      <c r="BN162" s="194"/>
      <c r="BO162" s="194"/>
      <c r="BP162" s="194"/>
      <c r="BQ162" s="47"/>
      <c r="BR162" s="194"/>
      <c r="BS162" s="47"/>
      <c r="BT162" s="47"/>
      <c r="BU162" s="47"/>
      <c r="BV162" s="47"/>
      <c r="BW162" s="47"/>
      <c r="BX162" s="194"/>
      <c r="BY162" s="194"/>
      <c r="BZ162" s="194"/>
      <c r="CA162" s="194"/>
      <c r="CB162" s="194"/>
      <c r="CC162" s="47"/>
      <c r="CD162" s="47"/>
      <c r="CE162" s="47"/>
      <c r="CF162" s="47"/>
      <c r="CG162" s="47"/>
      <c r="CH162" s="47"/>
      <c r="CI162" s="47"/>
      <c r="CJ162" s="47"/>
      <c r="CK162" s="47"/>
      <c r="CL162" s="194"/>
      <c r="CM162" s="47"/>
      <c r="CN162" s="47"/>
      <c r="CO162" s="47"/>
      <c r="CP162" s="47">
        <v>80</v>
      </c>
      <c r="CQ162" s="47"/>
      <c r="CR162" s="47"/>
      <c r="CS162" s="47"/>
      <c r="CT162" s="47"/>
      <c r="CU162" s="47"/>
      <c r="CV162" s="47"/>
      <c r="CW162" s="47"/>
      <c r="CX162" s="194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198"/>
      <c r="DX162" s="47"/>
      <c r="DY162" s="194"/>
      <c r="DZ162" s="47"/>
      <c r="EA162" s="47"/>
      <c r="EB162" s="194"/>
      <c r="EC162" s="47"/>
      <c r="ED162" s="195"/>
      <c r="EE162" s="195"/>
      <c r="EF162" s="195"/>
      <c r="EG162" s="195"/>
      <c r="EH162" s="195"/>
      <c r="EI162" s="196">
        <f t="shared" si="8"/>
        <v>0</v>
      </c>
      <c r="EJ162" s="201">
        <f t="shared" si="9"/>
        <v>85.724999999999994</v>
      </c>
      <c r="EK162" s="202">
        <v>82</v>
      </c>
      <c r="FA162" s="251">
        <f t="shared" si="11"/>
        <v>67.5</v>
      </c>
    </row>
    <row r="163" spans="1:157" s="1" customFormat="1" ht="20.149999999999999" customHeight="1" x14ac:dyDescent="0.35">
      <c r="A163" s="2"/>
      <c r="B163" s="189" t="s">
        <v>924</v>
      </c>
      <c r="C163" s="47" t="s">
        <v>1409</v>
      </c>
      <c r="D163" s="2" t="s">
        <v>637</v>
      </c>
      <c r="E163" s="2" t="s">
        <v>33</v>
      </c>
      <c r="F163" s="48" t="s">
        <v>48</v>
      </c>
      <c r="G163" s="48" t="s">
        <v>37</v>
      </c>
      <c r="H163" s="331">
        <f>H162/25*5</f>
        <v>13.5</v>
      </c>
      <c r="I163" s="47"/>
      <c r="J163" s="47"/>
      <c r="K163" s="47"/>
      <c r="L163" s="47">
        <v>19.5</v>
      </c>
      <c r="M163" s="47"/>
      <c r="N163" s="194"/>
      <c r="O163" s="194"/>
      <c r="P163" s="194"/>
      <c r="Q163" s="194"/>
      <c r="R163" s="47"/>
      <c r="S163" s="194"/>
      <c r="T163" s="47"/>
      <c r="U163" s="194"/>
      <c r="V163" s="47"/>
      <c r="W163" s="194"/>
      <c r="X163" s="47">
        <v>19</v>
      </c>
      <c r="Y163" s="194"/>
      <c r="Z163" s="194"/>
      <c r="AA163" s="47"/>
      <c r="AB163" s="47">
        <v>19.5</v>
      </c>
      <c r="AC163" s="47"/>
      <c r="AD163" s="47"/>
      <c r="AE163" s="194"/>
      <c r="AF163" s="194"/>
      <c r="AG163" s="194"/>
      <c r="AI163" s="47"/>
      <c r="AJ163" s="223"/>
      <c r="AK163" s="47"/>
      <c r="AL163" s="47">
        <v>18.5</v>
      </c>
      <c r="AM163" s="47"/>
      <c r="AN163" s="47"/>
      <c r="AO163" s="47"/>
      <c r="AP163" s="194"/>
      <c r="AQ163" s="47">
        <v>19.5</v>
      </c>
      <c r="AR163" s="47"/>
      <c r="AS163" s="47"/>
      <c r="AT163" s="194">
        <v>19</v>
      </c>
      <c r="AU163" s="194"/>
      <c r="AV163" s="194"/>
      <c r="AW163" s="194"/>
      <c r="AX163" s="194"/>
      <c r="AY163" s="194">
        <v>19</v>
      </c>
      <c r="AZ163" s="194"/>
      <c r="BA163" s="194"/>
      <c r="BB163" s="194"/>
      <c r="BC163" s="194"/>
      <c r="BD163" s="194"/>
      <c r="BE163" s="194"/>
      <c r="BF163" s="194"/>
      <c r="BG163" s="194"/>
      <c r="BH163" s="194"/>
      <c r="BI163" s="194"/>
      <c r="BJ163" s="194"/>
      <c r="BK163" s="194"/>
      <c r="BL163" s="194"/>
      <c r="BM163" s="194">
        <v>18.5</v>
      </c>
      <c r="BN163" s="194"/>
      <c r="BO163" s="194">
        <v>19.5</v>
      </c>
      <c r="BP163" s="194"/>
      <c r="BQ163" s="47">
        <v>19.5</v>
      </c>
      <c r="BR163" s="194"/>
      <c r="BS163" s="47">
        <v>19.5</v>
      </c>
      <c r="BT163" s="47">
        <v>19.5</v>
      </c>
      <c r="BU163" s="47"/>
      <c r="BV163" s="47"/>
      <c r="BW163" s="47"/>
      <c r="BX163" s="194">
        <v>19.5</v>
      </c>
      <c r="BY163" s="194"/>
      <c r="BZ163" s="194">
        <v>19</v>
      </c>
      <c r="CA163" s="194"/>
      <c r="CB163" s="194"/>
      <c r="CC163" s="47"/>
      <c r="CD163" s="47"/>
      <c r="CE163" s="47"/>
      <c r="CF163" s="47"/>
      <c r="CG163" s="47">
        <v>19.5</v>
      </c>
      <c r="CH163" s="47"/>
      <c r="CI163" s="47">
        <v>19</v>
      </c>
      <c r="CJ163" s="47"/>
      <c r="CK163" s="224"/>
      <c r="CL163" s="194"/>
      <c r="CM163" s="47"/>
      <c r="CN163" s="47"/>
      <c r="CO163" s="47">
        <v>19</v>
      </c>
      <c r="CP163" s="47"/>
      <c r="CQ163" s="47">
        <v>19.5</v>
      </c>
      <c r="CR163" s="47"/>
      <c r="CS163" s="198">
        <v>19.5</v>
      </c>
      <c r="CT163" s="47"/>
      <c r="CU163" s="47"/>
      <c r="CV163" s="47">
        <v>19</v>
      </c>
      <c r="CW163" s="47"/>
      <c r="CX163" s="194">
        <v>19.5</v>
      </c>
      <c r="CY163" s="47">
        <v>20</v>
      </c>
      <c r="CZ163" s="47">
        <v>21</v>
      </c>
      <c r="DA163" s="47"/>
      <c r="DB163" s="47"/>
      <c r="DC163" s="47"/>
      <c r="DD163" s="47"/>
      <c r="DE163" s="47"/>
      <c r="DF163" s="47"/>
      <c r="DG163" s="47"/>
      <c r="DH163" s="47"/>
      <c r="DI163" s="47"/>
      <c r="DJ163" s="47">
        <v>19</v>
      </c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>
        <v>20</v>
      </c>
      <c r="DW163" s="198">
        <v>19</v>
      </c>
      <c r="DX163" s="47"/>
      <c r="DY163" s="194"/>
      <c r="DZ163" s="47"/>
      <c r="EA163" s="47"/>
      <c r="EB163" s="194"/>
      <c r="EC163" s="47"/>
      <c r="ED163" s="195"/>
      <c r="EE163" s="195"/>
      <c r="EF163" s="195"/>
      <c r="EG163" s="195">
        <v>20</v>
      </c>
      <c r="EH163" s="195">
        <v>29</v>
      </c>
      <c r="EI163" s="196">
        <f t="shared" si="8"/>
        <v>391.5</v>
      </c>
      <c r="EJ163" s="201">
        <f t="shared" si="9"/>
        <v>17.145</v>
      </c>
      <c r="EK163" s="202">
        <f t="shared" si="10"/>
        <v>19.346153846153847</v>
      </c>
      <c r="FA163" s="251">
        <f t="shared" si="11"/>
        <v>13.5</v>
      </c>
    </row>
    <row r="164" spans="1:157" s="1" customFormat="1" ht="20.149999999999999" customHeight="1" x14ac:dyDescent="0.35">
      <c r="A164" s="47"/>
      <c r="B164" s="189" t="s">
        <v>925</v>
      </c>
      <c r="C164" s="47" t="s">
        <v>1409</v>
      </c>
      <c r="D164" s="2" t="s">
        <v>637</v>
      </c>
      <c r="E164" s="2" t="s">
        <v>33</v>
      </c>
      <c r="F164" s="48" t="s">
        <v>772</v>
      </c>
      <c r="G164" s="48" t="s">
        <v>37</v>
      </c>
      <c r="H164" s="331">
        <f>H162/25*2</f>
        <v>5.4</v>
      </c>
      <c r="I164" s="47"/>
      <c r="J164" s="47"/>
      <c r="K164" s="47"/>
      <c r="L164" s="47"/>
      <c r="M164" s="47"/>
      <c r="N164" s="194"/>
      <c r="O164" s="194"/>
      <c r="P164" s="194"/>
      <c r="Q164" s="194"/>
      <c r="R164" s="47"/>
      <c r="S164" s="194"/>
      <c r="T164" s="47"/>
      <c r="U164" s="194"/>
      <c r="V164" s="47"/>
      <c r="W164" s="194"/>
      <c r="X164" s="47"/>
      <c r="Y164" s="194"/>
      <c r="Z164" s="194"/>
      <c r="AA164" s="47"/>
      <c r="AB164" s="47"/>
      <c r="AC164" s="47"/>
      <c r="AD164" s="47"/>
      <c r="AE164" s="194"/>
      <c r="AF164" s="194"/>
      <c r="AG164" s="194"/>
      <c r="AI164" s="47"/>
      <c r="AJ164" s="223"/>
      <c r="AK164" s="47"/>
      <c r="AL164" s="47"/>
      <c r="AM164" s="47"/>
      <c r="AN164" s="47"/>
      <c r="AO164" s="47"/>
      <c r="AP164" s="194"/>
      <c r="AQ164" s="47"/>
      <c r="AR164" s="47"/>
      <c r="AS164" s="47"/>
      <c r="AT164" s="194"/>
      <c r="AU164" s="194"/>
      <c r="AV164" s="194"/>
      <c r="AW164" s="194"/>
      <c r="AX164" s="194"/>
      <c r="AY164" s="194"/>
      <c r="AZ164" s="194"/>
      <c r="BA164" s="194"/>
      <c r="BB164" s="194"/>
      <c r="BC164" s="194"/>
      <c r="BD164" s="194"/>
      <c r="BE164" s="194"/>
      <c r="BF164" s="194"/>
      <c r="BG164" s="194"/>
      <c r="BH164" s="194"/>
      <c r="BI164" s="194"/>
      <c r="BJ164" s="194"/>
      <c r="BK164" s="194"/>
      <c r="BL164" s="194"/>
      <c r="BM164" s="194"/>
      <c r="BN164" s="194"/>
      <c r="BO164" s="194"/>
      <c r="BP164" s="194"/>
      <c r="BQ164" s="47"/>
      <c r="BR164" s="194"/>
      <c r="BS164" s="47"/>
      <c r="BT164" s="47"/>
      <c r="BU164" s="47"/>
      <c r="BV164" s="47"/>
      <c r="BW164" s="47"/>
      <c r="BX164" s="194"/>
      <c r="BY164" s="194"/>
      <c r="BZ164" s="194"/>
      <c r="CA164" s="194"/>
      <c r="CB164" s="194"/>
      <c r="CC164" s="47"/>
      <c r="CD164" s="47"/>
      <c r="CE164" s="47"/>
      <c r="CF164" s="47"/>
      <c r="CG164" s="47"/>
      <c r="CH164" s="47"/>
      <c r="CI164" s="47"/>
      <c r="CJ164" s="47"/>
      <c r="CK164" s="224"/>
      <c r="CL164" s="194"/>
      <c r="CM164" s="47"/>
      <c r="CN164" s="47"/>
      <c r="CO164" s="47"/>
      <c r="CP164" s="47"/>
      <c r="CQ164" s="47"/>
      <c r="CR164" s="47"/>
      <c r="CS164" s="47"/>
      <c r="CT164" s="47"/>
      <c r="CU164" s="47"/>
      <c r="CV164" s="47"/>
      <c r="CW164" s="47"/>
      <c r="CX164" s="194"/>
      <c r="CY164" s="47"/>
      <c r="CZ164" s="47"/>
      <c r="DA164" s="47"/>
      <c r="DB164" s="47"/>
      <c r="DC164" s="47"/>
      <c r="DD164" s="47"/>
      <c r="DE164" s="47"/>
      <c r="DF164" s="47"/>
      <c r="DG164" s="47"/>
      <c r="DH164" s="47"/>
      <c r="DI164" s="47"/>
      <c r="DJ164" s="47"/>
      <c r="DK164" s="47"/>
      <c r="DL164" s="47"/>
      <c r="DM164" s="47"/>
      <c r="DN164" s="47"/>
      <c r="DO164" s="47"/>
      <c r="DP164" s="47"/>
      <c r="DQ164" s="47"/>
      <c r="DR164" s="47"/>
      <c r="DS164" s="47"/>
      <c r="DT164" s="47"/>
      <c r="DU164" s="47"/>
      <c r="DV164" s="47"/>
      <c r="DW164" s="198"/>
      <c r="DX164" s="47"/>
      <c r="DY164" s="194"/>
      <c r="DZ164" s="47"/>
      <c r="EA164" s="47"/>
      <c r="EB164" s="194"/>
      <c r="EC164" s="47"/>
      <c r="ED164" s="195"/>
      <c r="EE164" s="195"/>
      <c r="EF164" s="195"/>
      <c r="EG164" s="195"/>
      <c r="EH164" s="195">
        <v>3</v>
      </c>
      <c r="EI164" s="196">
        <f t="shared" si="8"/>
        <v>16.200000000000003</v>
      </c>
      <c r="EJ164" s="201">
        <f t="shared" si="9"/>
        <v>6.8580000000000005</v>
      </c>
      <c r="EK164" s="202" t="e">
        <f t="shared" si="10"/>
        <v>#DIV/0!</v>
      </c>
      <c r="FA164" s="251">
        <f t="shared" si="11"/>
        <v>5.4</v>
      </c>
    </row>
    <row r="165" spans="1:157" s="1" customFormat="1" ht="20.149999999999999" customHeight="1" x14ac:dyDescent="0.35">
      <c r="A165" s="47"/>
      <c r="B165" s="189" t="s">
        <v>926</v>
      </c>
      <c r="C165" s="47" t="s">
        <v>1409</v>
      </c>
      <c r="D165" s="2" t="s">
        <v>637</v>
      </c>
      <c r="E165" s="2" t="s">
        <v>33</v>
      </c>
      <c r="F165" s="48" t="s">
        <v>301</v>
      </c>
      <c r="G165" s="48" t="s">
        <v>37</v>
      </c>
      <c r="H165" s="331">
        <f>H162/25*3</f>
        <v>8.1000000000000014</v>
      </c>
      <c r="I165" s="47"/>
      <c r="J165" s="47"/>
      <c r="K165" s="47"/>
      <c r="L165" s="47"/>
      <c r="M165" s="47"/>
      <c r="N165" s="194"/>
      <c r="O165" s="194"/>
      <c r="P165" s="194"/>
      <c r="Q165" s="194"/>
      <c r="R165" s="47"/>
      <c r="S165" s="194"/>
      <c r="T165" s="47"/>
      <c r="U165" s="194"/>
      <c r="V165" s="47"/>
      <c r="W165" s="194"/>
      <c r="X165" s="47"/>
      <c r="Y165" s="194"/>
      <c r="Z165" s="194"/>
      <c r="AA165" s="47"/>
      <c r="AB165" s="47"/>
      <c r="AC165" s="47"/>
      <c r="AD165" s="47"/>
      <c r="AE165" s="194"/>
      <c r="AF165" s="194"/>
      <c r="AG165" s="194"/>
      <c r="AI165" s="47"/>
      <c r="AJ165" s="223"/>
      <c r="AK165" s="47"/>
      <c r="AL165" s="47"/>
      <c r="AM165" s="47"/>
      <c r="AN165" s="47"/>
      <c r="AO165" s="47"/>
      <c r="AP165" s="194"/>
      <c r="AQ165" s="47"/>
      <c r="AR165" s="47">
        <v>11</v>
      </c>
      <c r="AS165" s="47"/>
      <c r="AT165" s="194"/>
      <c r="AU165" s="194"/>
      <c r="AV165" s="194"/>
      <c r="AW165" s="194"/>
      <c r="AX165" s="194"/>
      <c r="AY165" s="194"/>
      <c r="AZ165" s="194"/>
      <c r="BA165" s="194"/>
      <c r="BB165" s="194"/>
      <c r="BC165" s="194"/>
      <c r="BD165" s="194"/>
      <c r="BE165" s="194"/>
      <c r="BF165" s="194"/>
      <c r="BG165" s="194"/>
      <c r="BH165" s="194"/>
      <c r="BI165" s="194"/>
      <c r="BJ165" s="194"/>
      <c r="BK165" s="194"/>
      <c r="BL165" s="194"/>
      <c r="BM165" s="194"/>
      <c r="BN165" s="194"/>
      <c r="BO165" s="194"/>
      <c r="BP165" s="194"/>
      <c r="BQ165" s="47"/>
      <c r="BR165" s="194"/>
      <c r="BS165" s="47"/>
      <c r="BT165" s="47"/>
      <c r="BU165" s="47"/>
      <c r="BV165" s="47"/>
      <c r="BW165" s="47"/>
      <c r="BX165" s="194"/>
      <c r="BY165" s="194"/>
      <c r="BZ165" s="194"/>
      <c r="CA165" s="194"/>
      <c r="CB165" s="194"/>
      <c r="CC165" s="47"/>
      <c r="CD165" s="47">
        <v>12.5</v>
      </c>
      <c r="CE165" s="47"/>
      <c r="CF165" s="47"/>
      <c r="CG165" s="47"/>
      <c r="CH165" s="47"/>
      <c r="CI165" s="47"/>
      <c r="CJ165" s="47"/>
      <c r="CK165" s="224"/>
      <c r="CL165" s="194">
        <v>10.5</v>
      </c>
      <c r="CM165" s="47"/>
      <c r="CN165" s="47"/>
      <c r="CO165" s="47"/>
      <c r="CP165" s="47"/>
      <c r="CQ165" s="47"/>
      <c r="CR165" s="47"/>
      <c r="CS165" s="47"/>
      <c r="CT165" s="47"/>
      <c r="CU165" s="47"/>
      <c r="CV165" s="47"/>
      <c r="CW165" s="47"/>
      <c r="CX165" s="194"/>
      <c r="CY165" s="47"/>
      <c r="CZ165" s="47"/>
      <c r="DA165" s="47"/>
      <c r="DB165" s="47"/>
      <c r="DC165" s="47"/>
      <c r="DD165" s="47"/>
      <c r="DE165" s="47"/>
      <c r="DF165" s="47"/>
      <c r="DG165" s="47"/>
      <c r="DH165" s="47"/>
      <c r="DI165" s="47"/>
      <c r="DJ165" s="47"/>
      <c r="DK165" s="47"/>
      <c r="DL165" s="47"/>
      <c r="DM165" s="47"/>
      <c r="DN165" s="47"/>
      <c r="DO165" s="47"/>
      <c r="DP165" s="47"/>
      <c r="DQ165" s="47"/>
      <c r="DR165" s="47"/>
      <c r="DS165" s="47"/>
      <c r="DT165" s="47"/>
      <c r="DU165" s="47"/>
      <c r="DV165" s="47"/>
      <c r="DW165" s="198"/>
      <c r="DX165" s="47"/>
      <c r="DY165" s="194"/>
      <c r="DZ165" s="47"/>
      <c r="EA165" s="47"/>
      <c r="EB165" s="194"/>
      <c r="EC165" s="47"/>
      <c r="ED165" s="195"/>
      <c r="EE165" s="195"/>
      <c r="EF165" s="195"/>
      <c r="EG165" s="195">
        <v>13</v>
      </c>
      <c r="EH165" s="195">
        <v>2</v>
      </c>
      <c r="EI165" s="196">
        <f t="shared" si="8"/>
        <v>16.200000000000003</v>
      </c>
      <c r="EJ165" s="201">
        <f t="shared" si="9"/>
        <v>10.287000000000003</v>
      </c>
      <c r="EK165" s="202">
        <v>9.6</v>
      </c>
      <c r="FA165" s="251">
        <f t="shared" si="11"/>
        <v>8.1000000000000014</v>
      </c>
    </row>
    <row r="166" spans="1:157" s="1" customFormat="1" ht="20.149999999999999" customHeight="1" x14ac:dyDescent="0.35">
      <c r="A166" s="47"/>
      <c r="B166" s="189" t="s">
        <v>927</v>
      </c>
      <c r="C166" s="47" t="s">
        <v>1409</v>
      </c>
      <c r="D166" s="2" t="s">
        <v>637</v>
      </c>
      <c r="E166" s="2" t="s">
        <v>33</v>
      </c>
      <c r="F166" s="48" t="s">
        <v>632</v>
      </c>
      <c r="G166" s="48" t="s">
        <v>37</v>
      </c>
      <c r="H166" s="331">
        <f>H162/25</f>
        <v>2.7</v>
      </c>
      <c r="I166" s="47"/>
      <c r="J166" s="47"/>
      <c r="K166" s="47"/>
      <c r="L166" s="47"/>
      <c r="M166" s="47"/>
      <c r="N166" s="194"/>
      <c r="O166" s="194"/>
      <c r="P166" s="194"/>
      <c r="Q166" s="194"/>
      <c r="R166" s="47"/>
      <c r="S166" s="194"/>
      <c r="T166" s="47"/>
      <c r="U166" s="194"/>
      <c r="V166" s="47"/>
      <c r="W166" s="194"/>
      <c r="X166" s="47"/>
      <c r="Y166" s="194"/>
      <c r="Z166" s="194"/>
      <c r="AA166" s="47"/>
      <c r="AB166" s="47"/>
      <c r="AC166" s="47"/>
      <c r="AD166" s="47"/>
      <c r="AE166" s="194"/>
      <c r="AF166" s="194"/>
      <c r="AG166" s="194"/>
      <c r="AI166" s="47"/>
      <c r="AJ166" s="223"/>
      <c r="AK166" s="47"/>
      <c r="AL166" s="47"/>
      <c r="AM166" s="47"/>
      <c r="AN166" s="47"/>
      <c r="AO166" s="47"/>
      <c r="AP166" s="194"/>
      <c r="AQ166" s="47"/>
      <c r="AR166" s="47"/>
      <c r="AS166" s="47"/>
      <c r="AT166" s="194"/>
      <c r="AU166" s="194"/>
      <c r="AV166" s="194"/>
      <c r="AW166" s="194"/>
      <c r="AX166" s="194"/>
      <c r="AY166" s="194"/>
      <c r="AZ166" s="194"/>
      <c r="BA166" s="194"/>
      <c r="BB166" s="194"/>
      <c r="BC166" s="194"/>
      <c r="BD166" s="194"/>
      <c r="BE166" s="194"/>
      <c r="BF166" s="194"/>
      <c r="BG166" s="194"/>
      <c r="BH166" s="194"/>
      <c r="BI166" s="194"/>
      <c r="BJ166" s="194"/>
      <c r="BK166" s="194"/>
      <c r="BL166" s="194"/>
      <c r="BM166" s="194"/>
      <c r="BN166" s="194"/>
      <c r="BO166" s="194"/>
      <c r="BP166" s="194"/>
      <c r="BQ166" s="47"/>
      <c r="BR166" s="194"/>
      <c r="BS166" s="47"/>
      <c r="BT166" s="47"/>
      <c r="BU166" s="47"/>
      <c r="BV166" s="47"/>
      <c r="BW166" s="47"/>
      <c r="BX166" s="194"/>
      <c r="BY166" s="194"/>
      <c r="BZ166" s="194"/>
      <c r="CA166" s="194"/>
      <c r="CB166" s="194"/>
      <c r="CC166" s="47"/>
      <c r="CD166" s="47"/>
      <c r="CE166" s="47"/>
      <c r="CF166" s="47"/>
      <c r="CG166" s="47"/>
      <c r="CH166" s="47"/>
      <c r="CI166" s="47"/>
      <c r="CJ166" s="47"/>
      <c r="CK166" s="224"/>
      <c r="CL166" s="194">
        <v>4</v>
      </c>
      <c r="CM166" s="47"/>
      <c r="CN166" s="47"/>
      <c r="CO166" s="47"/>
      <c r="CP166" s="47"/>
      <c r="CQ166" s="47"/>
      <c r="CR166" s="47"/>
      <c r="CS166" s="47"/>
      <c r="CT166" s="47"/>
      <c r="CU166" s="47"/>
      <c r="CV166" s="47"/>
      <c r="CW166" s="47"/>
      <c r="CX166" s="194"/>
      <c r="CY166" s="47"/>
      <c r="CZ166" s="47"/>
      <c r="DA166" s="47"/>
      <c r="DB166" s="47"/>
      <c r="DC166" s="47"/>
      <c r="DD166" s="47"/>
      <c r="DE166" s="47"/>
      <c r="DF166" s="47"/>
      <c r="DG166" s="47"/>
      <c r="DH166" s="47"/>
      <c r="DI166" s="47"/>
      <c r="DJ166" s="47"/>
      <c r="DK166" s="47"/>
      <c r="DL166" s="47"/>
      <c r="DM166" s="47"/>
      <c r="DN166" s="47"/>
      <c r="DO166" s="47"/>
      <c r="DP166" s="47"/>
      <c r="DQ166" s="47"/>
      <c r="DR166" s="47"/>
      <c r="DS166" s="47"/>
      <c r="DT166" s="47"/>
      <c r="DU166" s="47">
        <v>3.4</v>
      </c>
      <c r="DV166" s="47"/>
      <c r="DW166" s="198">
        <v>3.4</v>
      </c>
      <c r="DX166" s="47"/>
      <c r="DY166" s="194"/>
      <c r="DZ166" s="47"/>
      <c r="EA166" s="47"/>
      <c r="EB166" s="194"/>
      <c r="EC166" s="47"/>
      <c r="ED166" s="195"/>
      <c r="EE166" s="195"/>
      <c r="EF166" s="195"/>
      <c r="EG166" s="195"/>
      <c r="EH166" s="195">
        <v>0</v>
      </c>
      <c r="EI166" s="196">
        <f t="shared" si="8"/>
        <v>0</v>
      </c>
      <c r="EJ166" s="201">
        <f t="shared" si="9"/>
        <v>3.4290000000000003</v>
      </c>
      <c r="EK166" s="202">
        <f t="shared" si="10"/>
        <v>3.6</v>
      </c>
      <c r="FA166" s="251">
        <f t="shared" si="11"/>
        <v>2.7</v>
      </c>
    </row>
    <row r="167" spans="1:157" s="1" customFormat="1" ht="20.149999999999999" customHeight="1" x14ac:dyDescent="0.35">
      <c r="A167" s="47"/>
      <c r="B167" s="189" t="s">
        <v>1217</v>
      </c>
      <c r="C167" s="47" t="s">
        <v>1409</v>
      </c>
      <c r="D167" s="2" t="s">
        <v>637</v>
      </c>
      <c r="E167" s="2" t="s">
        <v>33</v>
      </c>
      <c r="F167" s="48" t="s">
        <v>733</v>
      </c>
      <c r="G167" s="48" t="s">
        <v>37</v>
      </c>
      <c r="H167" s="331">
        <v>5.6</v>
      </c>
      <c r="I167" s="47"/>
      <c r="J167" s="47"/>
      <c r="K167" s="47"/>
      <c r="L167" s="47"/>
      <c r="M167" s="47"/>
      <c r="N167" s="194"/>
      <c r="O167" s="194"/>
      <c r="P167" s="194"/>
      <c r="Q167" s="194"/>
      <c r="R167" s="47"/>
      <c r="S167" s="194"/>
      <c r="T167" s="47"/>
      <c r="U167" s="194"/>
      <c r="V167" s="47"/>
      <c r="W167" s="194"/>
      <c r="X167" s="47"/>
      <c r="Y167" s="194"/>
      <c r="Z167" s="194"/>
      <c r="AA167" s="47"/>
      <c r="AB167" s="47"/>
      <c r="AC167" s="47"/>
      <c r="AD167" s="47"/>
      <c r="AE167" s="194"/>
      <c r="AF167" s="194"/>
      <c r="AG167" s="194"/>
      <c r="AI167" s="47"/>
      <c r="AJ167" s="223"/>
      <c r="AK167" s="47"/>
      <c r="AL167" s="47"/>
      <c r="AM167" s="47"/>
      <c r="AN167" s="47"/>
      <c r="AO167" s="47"/>
      <c r="AP167" s="194"/>
      <c r="AQ167" s="47"/>
      <c r="AR167" s="47"/>
      <c r="AS167" s="47"/>
      <c r="AT167" s="194"/>
      <c r="AU167" s="194"/>
      <c r="AV167" s="194"/>
      <c r="AW167" s="194"/>
      <c r="AX167" s="194"/>
      <c r="AY167" s="194"/>
      <c r="AZ167" s="194"/>
      <c r="BA167" s="194"/>
      <c r="BB167" s="194"/>
      <c r="BC167" s="194"/>
      <c r="BD167" s="194"/>
      <c r="BE167" s="194"/>
      <c r="BF167" s="194"/>
      <c r="BG167" s="194"/>
      <c r="BH167" s="194"/>
      <c r="BI167" s="194"/>
      <c r="BJ167" s="194"/>
      <c r="BK167" s="194"/>
      <c r="BL167" s="194"/>
      <c r="BM167" s="194"/>
      <c r="BN167" s="194"/>
      <c r="BO167" s="194"/>
      <c r="BP167" s="194"/>
      <c r="BQ167" s="47"/>
      <c r="BR167" s="194"/>
      <c r="BS167" s="47"/>
      <c r="BT167" s="47"/>
      <c r="BU167" s="47"/>
      <c r="BV167" s="47"/>
      <c r="BW167" s="47"/>
      <c r="BX167" s="194"/>
      <c r="BY167" s="194"/>
      <c r="BZ167" s="194"/>
      <c r="CA167" s="194"/>
      <c r="CB167" s="194"/>
      <c r="CC167" s="47"/>
      <c r="CD167" s="47"/>
      <c r="CE167" s="47"/>
      <c r="CF167" s="47"/>
      <c r="CG167" s="47"/>
      <c r="CH167" s="47"/>
      <c r="CI167" s="47"/>
      <c r="CJ167" s="47"/>
      <c r="CK167" s="224"/>
      <c r="CL167" s="194">
        <v>8.5</v>
      </c>
      <c r="CM167" s="47"/>
      <c r="CN167" s="47"/>
      <c r="CO167" s="47"/>
      <c r="CP167" s="47"/>
      <c r="CQ167" s="47"/>
      <c r="CR167" s="47"/>
      <c r="CS167" s="47"/>
      <c r="CT167" s="47"/>
      <c r="CU167" s="47"/>
      <c r="CV167" s="47"/>
      <c r="CW167" s="47"/>
      <c r="CX167" s="194"/>
      <c r="CY167" s="47"/>
      <c r="CZ167" s="47"/>
      <c r="DA167" s="47"/>
      <c r="DB167" s="47"/>
      <c r="DC167" s="47"/>
      <c r="DD167" s="47"/>
      <c r="DE167" s="47"/>
      <c r="DF167" s="47"/>
      <c r="DG167" s="47"/>
      <c r="DH167" s="47"/>
      <c r="DI167" s="47"/>
      <c r="DJ167" s="47"/>
      <c r="DK167" s="47"/>
      <c r="DL167" s="47"/>
      <c r="DM167" s="47"/>
      <c r="DN167" s="47"/>
      <c r="DO167" s="47"/>
      <c r="DP167" s="47"/>
      <c r="DQ167" s="47"/>
      <c r="DR167" s="47"/>
      <c r="DS167" s="47"/>
      <c r="DT167" s="47"/>
      <c r="DU167" s="47"/>
      <c r="DV167" s="47"/>
      <c r="DW167" s="198"/>
      <c r="DX167" s="47"/>
      <c r="DY167" s="194"/>
      <c r="DZ167" s="47"/>
      <c r="EA167" s="47"/>
      <c r="EB167" s="194"/>
      <c r="EC167" s="47"/>
      <c r="ED167" s="195"/>
      <c r="EE167" s="195"/>
      <c r="EF167" s="195"/>
      <c r="EG167" s="195"/>
      <c r="EH167" s="195"/>
      <c r="EI167" s="196"/>
      <c r="EJ167" s="201"/>
      <c r="EK167" s="202"/>
      <c r="FA167" s="251">
        <f t="shared" si="11"/>
        <v>5.6</v>
      </c>
    </row>
    <row r="168" spans="1:157" s="1" customFormat="1" ht="20.149999999999999" customHeight="1" x14ac:dyDescent="0.35">
      <c r="A168" s="47"/>
      <c r="B168" s="189" t="s">
        <v>1726</v>
      </c>
      <c r="C168" s="47" t="s">
        <v>1409</v>
      </c>
      <c r="D168" s="2" t="s">
        <v>637</v>
      </c>
      <c r="E168" s="2" t="s">
        <v>33</v>
      </c>
      <c r="F168" s="48" t="s">
        <v>736</v>
      </c>
      <c r="G168" s="48" t="s">
        <v>37</v>
      </c>
      <c r="H168" s="331">
        <v>10.4</v>
      </c>
      <c r="I168" s="47"/>
      <c r="J168" s="47"/>
      <c r="K168" s="47"/>
      <c r="L168" s="47"/>
      <c r="M168" s="47"/>
      <c r="N168" s="194"/>
      <c r="O168" s="194"/>
      <c r="P168" s="194"/>
      <c r="Q168" s="194"/>
      <c r="R168" s="47"/>
      <c r="S168" s="194"/>
      <c r="T168" s="47"/>
      <c r="U168" s="194"/>
      <c r="V168" s="47"/>
      <c r="W168" s="194"/>
      <c r="X168" s="47"/>
      <c r="Y168" s="194"/>
      <c r="Z168" s="194"/>
      <c r="AA168" s="47"/>
      <c r="AB168" s="47"/>
      <c r="AC168" s="47"/>
      <c r="AD168" s="47"/>
      <c r="AE168" s="194"/>
      <c r="AF168" s="194"/>
      <c r="AG168" s="194"/>
      <c r="AI168" s="47"/>
      <c r="AJ168" s="223"/>
      <c r="AK168" s="47"/>
      <c r="AL168" s="47"/>
      <c r="AM168" s="47"/>
      <c r="AN168" s="47"/>
      <c r="AO168" s="47"/>
      <c r="AP168" s="194"/>
      <c r="AQ168" s="47"/>
      <c r="AR168" s="47"/>
      <c r="AS168" s="47"/>
      <c r="AT168" s="194"/>
      <c r="AU168" s="194"/>
      <c r="AV168" s="194"/>
      <c r="AW168" s="194"/>
      <c r="AX168" s="194"/>
      <c r="AY168" s="194"/>
      <c r="AZ168" s="194"/>
      <c r="BA168" s="194"/>
      <c r="BB168" s="194"/>
      <c r="BC168" s="194"/>
      <c r="BD168" s="194"/>
      <c r="BE168" s="194"/>
      <c r="BF168" s="194"/>
      <c r="BG168" s="194"/>
      <c r="BH168" s="194"/>
      <c r="BI168" s="194"/>
      <c r="BJ168" s="194"/>
      <c r="BK168" s="194"/>
      <c r="BL168" s="194"/>
      <c r="BM168" s="194"/>
      <c r="BN168" s="194"/>
      <c r="BO168" s="194"/>
      <c r="BP168" s="194"/>
      <c r="BQ168" s="47"/>
      <c r="BR168" s="194"/>
      <c r="BS168" s="47"/>
      <c r="BT168" s="47"/>
      <c r="BU168" s="47"/>
      <c r="BV168" s="47"/>
      <c r="BW168" s="47"/>
      <c r="BX168" s="194"/>
      <c r="BY168" s="194"/>
      <c r="BZ168" s="194"/>
      <c r="CA168" s="194"/>
      <c r="CB168" s="194"/>
      <c r="CC168" s="47"/>
      <c r="CD168" s="47"/>
      <c r="CE168" s="47"/>
      <c r="CF168" s="47"/>
      <c r="CG168" s="47"/>
      <c r="CH168" s="47"/>
      <c r="CI168" s="47"/>
      <c r="CJ168" s="47"/>
      <c r="CK168" s="224"/>
      <c r="CL168" s="194">
        <v>15.5</v>
      </c>
      <c r="CM168" s="47"/>
      <c r="CN168" s="47"/>
      <c r="CO168" s="47"/>
      <c r="CP168" s="47"/>
      <c r="CQ168" s="47"/>
      <c r="CR168" s="47"/>
      <c r="CS168" s="47"/>
      <c r="CT168" s="47"/>
      <c r="CU168" s="47"/>
      <c r="CV168" s="47"/>
      <c r="CW168" s="47"/>
      <c r="CX168" s="194"/>
      <c r="CY168" s="47"/>
      <c r="CZ168" s="47"/>
      <c r="DA168" s="47"/>
      <c r="DB168" s="47"/>
      <c r="DC168" s="47"/>
      <c r="DD168" s="47"/>
      <c r="DE168" s="47"/>
      <c r="DF168" s="47"/>
      <c r="DG168" s="47"/>
      <c r="DH168" s="47"/>
      <c r="DI168" s="47"/>
      <c r="DJ168" s="47"/>
      <c r="DK168" s="47"/>
      <c r="DL168" s="47"/>
      <c r="DM168" s="47"/>
      <c r="DN168" s="47"/>
      <c r="DO168" s="47"/>
      <c r="DP168" s="47"/>
      <c r="DQ168" s="47"/>
      <c r="DR168" s="47"/>
      <c r="DS168" s="47"/>
      <c r="DT168" s="47"/>
      <c r="DU168" s="47"/>
      <c r="DV168" s="47"/>
      <c r="DW168" s="198"/>
      <c r="DX168" s="47"/>
      <c r="DY168" s="194"/>
      <c r="DZ168" s="47"/>
      <c r="EA168" s="47"/>
      <c r="EB168" s="194"/>
      <c r="EC168" s="47"/>
      <c r="ED168" s="195"/>
      <c r="EE168" s="195"/>
      <c r="EF168" s="195"/>
      <c r="EG168" s="195"/>
      <c r="EH168" s="195"/>
      <c r="EI168" s="196"/>
      <c r="EJ168" s="201"/>
      <c r="EK168" s="202"/>
      <c r="FA168" s="251">
        <f t="shared" si="11"/>
        <v>10.4</v>
      </c>
    </row>
    <row r="169" spans="1:157" s="1" customFormat="1" ht="20.149999999999999" customHeight="1" x14ac:dyDescent="0.35">
      <c r="A169" s="47"/>
      <c r="B169" s="189" t="s">
        <v>923</v>
      </c>
      <c r="C169" s="47" t="s">
        <v>1410</v>
      </c>
      <c r="D169" s="2" t="s">
        <v>637</v>
      </c>
      <c r="E169" s="2" t="s">
        <v>33</v>
      </c>
      <c r="F169" s="48" t="s">
        <v>573</v>
      </c>
      <c r="G169" s="48" t="s">
        <v>37</v>
      </c>
      <c r="H169" s="328">
        <f>2.55*25*1.08</f>
        <v>68.849999999999994</v>
      </c>
      <c r="I169" s="47"/>
      <c r="J169" s="47"/>
      <c r="K169" s="47"/>
      <c r="L169" s="47"/>
      <c r="M169" s="47"/>
      <c r="N169" s="194"/>
      <c r="O169" s="194"/>
      <c r="P169" s="194"/>
      <c r="Q169" s="194"/>
      <c r="R169" s="47"/>
      <c r="S169" s="194"/>
      <c r="T169" s="47"/>
      <c r="U169" s="194"/>
      <c r="V169" s="47"/>
      <c r="W169" s="194"/>
      <c r="X169" s="47"/>
      <c r="Y169" s="194"/>
      <c r="Z169" s="194"/>
      <c r="AA169" s="47"/>
      <c r="AB169" s="47"/>
      <c r="AC169" s="47"/>
      <c r="AD169" s="47"/>
      <c r="AE169" s="194"/>
      <c r="AF169" s="194"/>
      <c r="AG169" s="194"/>
      <c r="AI169" s="47"/>
      <c r="AJ169" s="223"/>
      <c r="AK169" s="47"/>
      <c r="AL169" s="47"/>
      <c r="AM169" s="47"/>
      <c r="AN169" s="47"/>
      <c r="AO169" s="47"/>
      <c r="AP169" s="194"/>
      <c r="AQ169" s="47"/>
      <c r="AR169" s="47"/>
      <c r="AS169" s="47"/>
      <c r="AT169" s="194"/>
      <c r="AU169" s="194"/>
      <c r="AV169" s="194"/>
      <c r="AW169" s="194"/>
      <c r="AX169" s="194"/>
      <c r="AY169" s="194"/>
      <c r="AZ169" s="194"/>
      <c r="BA169" s="194"/>
      <c r="BB169" s="194"/>
      <c r="BC169" s="194"/>
      <c r="BD169" s="194"/>
      <c r="BE169" s="194"/>
      <c r="BF169" s="194"/>
      <c r="BG169" s="194"/>
      <c r="BH169" s="194"/>
      <c r="BI169" s="194"/>
      <c r="BJ169" s="194"/>
      <c r="BK169" s="194"/>
      <c r="BL169" s="194"/>
      <c r="BM169" s="194"/>
      <c r="BN169" s="194"/>
      <c r="BO169" s="194"/>
      <c r="BP169" s="194"/>
      <c r="BQ169" s="47"/>
      <c r="BR169" s="194"/>
      <c r="BS169" s="47"/>
      <c r="BT169" s="47"/>
      <c r="BU169" s="47"/>
      <c r="BV169" s="47"/>
      <c r="BW169" s="47"/>
      <c r="BX169" s="194"/>
      <c r="BY169" s="194"/>
      <c r="BZ169" s="194"/>
      <c r="CA169" s="194"/>
      <c r="CB169" s="194"/>
      <c r="CC169" s="47"/>
      <c r="CD169" s="47"/>
      <c r="CE169" s="47"/>
      <c r="CF169" s="47"/>
      <c r="CG169" s="47"/>
      <c r="CH169" s="47"/>
      <c r="CI169" s="47"/>
      <c r="CJ169" s="47"/>
      <c r="CK169" s="224"/>
      <c r="CL169" s="194"/>
      <c r="CM169" s="47"/>
      <c r="CN169" s="47"/>
      <c r="CO169" s="47"/>
      <c r="CP169" s="47"/>
      <c r="CQ169" s="47"/>
      <c r="CR169" s="47"/>
      <c r="CS169" s="47"/>
      <c r="CT169" s="47"/>
      <c r="CU169" s="47"/>
      <c r="CV169" s="47"/>
      <c r="CW169" s="47"/>
      <c r="CX169" s="194"/>
      <c r="CY169" s="47"/>
      <c r="CZ169" s="47"/>
      <c r="DA169" s="47"/>
      <c r="DB169" s="47"/>
      <c r="DC169" s="47"/>
      <c r="DD169" s="47"/>
      <c r="DE169" s="47"/>
      <c r="DF169" s="47"/>
      <c r="DG169" s="47"/>
      <c r="DH169" s="47"/>
      <c r="DI169" s="47"/>
      <c r="DJ169" s="47">
        <v>80.5</v>
      </c>
      <c r="DK169" s="47"/>
      <c r="DL169" s="47"/>
      <c r="DM169" s="47"/>
      <c r="DN169" s="47"/>
      <c r="DO169" s="47"/>
      <c r="DP169" s="47"/>
      <c r="DQ169" s="47"/>
      <c r="DR169" s="47"/>
      <c r="DS169" s="47"/>
      <c r="DT169" s="47"/>
      <c r="DU169" s="47"/>
      <c r="DV169" s="47"/>
      <c r="DW169" s="198"/>
      <c r="DX169" s="47"/>
      <c r="DY169" s="194"/>
      <c r="DZ169" s="47"/>
      <c r="EA169" s="47"/>
      <c r="EB169" s="194"/>
      <c r="EC169" s="47"/>
      <c r="ED169" s="195"/>
      <c r="EE169" s="195"/>
      <c r="EF169" s="195"/>
      <c r="EG169" s="195">
        <v>18</v>
      </c>
      <c r="EH169" s="195">
        <v>12</v>
      </c>
      <c r="EI169" s="196">
        <f t="shared" si="8"/>
        <v>826.19999999999993</v>
      </c>
      <c r="EJ169" s="201">
        <f t="shared" si="9"/>
        <v>87.439499999999995</v>
      </c>
      <c r="EK169" s="202">
        <v>0</v>
      </c>
      <c r="FA169" s="251">
        <f t="shared" si="11"/>
        <v>68.849999999999994</v>
      </c>
    </row>
    <row r="170" spans="1:157" s="1" customFormat="1" ht="20.149999999999999" customHeight="1" x14ac:dyDescent="0.35">
      <c r="A170" s="47"/>
      <c r="B170" s="189" t="s">
        <v>928</v>
      </c>
      <c r="C170" s="47" t="s">
        <v>1410</v>
      </c>
      <c r="D170" s="2" t="s">
        <v>637</v>
      </c>
      <c r="E170" s="2" t="s">
        <v>33</v>
      </c>
      <c r="F170" s="48" t="s">
        <v>48</v>
      </c>
      <c r="G170" s="48" t="s">
        <v>37</v>
      </c>
      <c r="H170" s="328">
        <f>H169/25*5</f>
        <v>13.769999999999998</v>
      </c>
      <c r="I170" s="47"/>
      <c r="J170" s="47"/>
      <c r="K170" s="47"/>
      <c r="L170" s="47"/>
      <c r="M170" s="47"/>
      <c r="N170" s="194"/>
      <c r="O170" s="194"/>
      <c r="P170" s="194"/>
      <c r="Q170" s="194"/>
      <c r="R170" s="47"/>
      <c r="S170" s="194"/>
      <c r="T170" s="47"/>
      <c r="U170" s="194"/>
      <c r="V170" s="47"/>
      <c r="W170" s="194"/>
      <c r="X170" s="47"/>
      <c r="Y170" s="194"/>
      <c r="Z170" s="194"/>
      <c r="AA170" s="47"/>
      <c r="AB170" s="47"/>
      <c r="AC170" s="47"/>
      <c r="AD170" s="47"/>
      <c r="AE170" s="194"/>
      <c r="AF170" s="194"/>
      <c r="AG170" s="194"/>
      <c r="AI170" s="47"/>
      <c r="AJ170" s="223"/>
      <c r="AK170" s="47"/>
      <c r="AL170" s="47"/>
      <c r="AM170" s="47"/>
      <c r="AN170" s="47"/>
      <c r="AO170" s="47"/>
      <c r="AP170" s="194"/>
      <c r="AQ170" s="47"/>
      <c r="AR170" s="47"/>
      <c r="AS170" s="47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4"/>
      <c r="BL170" s="194"/>
      <c r="BM170" s="194"/>
      <c r="BN170" s="194"/>
      <c r="BO170" s="194"/>
      <c r="BP170" s="194"/>
      <c r="BQ170" s="47"/>
      <c r="BR170" s="194"/>
      <c r="BS170" s="47"/>
      <c r="BT170" s="47"/>
      <c r="BU170" s="47"/>
      <c r="BV170" s="47"/>
      <c r="BW170" s="47"/>
      <c r="BX170" s="194"/>
      <c r="BY170" s="194"/>
      <c r="BZ170" s="194"/>
      <c r="CA170" s="194"/>
      <c r="CB170" s="194"/>
      <c r="CC170" s="47"/>
      <c r="CD170" s="47"/>
      <c r="CE170" s="47"/>
      <c r="CF170" s="47"/>
      <c r="CG170" s="47">
        <v>19</v>
      </c>
      <c r="CH170" s="47"/>
      <c r="CI170" s="47"/>
      <c r="CJ170" s="47"/>
      <c r="CK170" s="224"/>
      <c r="CL170" s="194"/>
      <c r="CM170" s="47"/>
      <c r="CN170" s="47"/>
      <c r="CO170" s="47"/>
      <c r="CP170" s="47"/>
      <c r="CQ170" s="47"/>
      <c r="CR170" s="47"/>
      <c r="CS170" s="47"/>
      <c r="CT170" s="47"/>
      <c r="CU170" s="47"/>
      <c r="CV170" s="47"/>
      <c r="CW170" s="47"/>
      <c r="CX170" s="194"/>
      <c r="CY170" s="47"/>
      <c r="CZ170" s="47"/>
      <c r="DA170" s="47"/>
      <c r="DB170" s="47"/>
      <c r="DC170" s="47"/>
      <c r="DD170" s="47"/>
      <c r="DE170" s="47"/>
      <c r="DF170" s="47"/>
      <c r="DG170" s="47"/>
      <c r="DH170" s="47"/>
      <c r="DI170" s="47"/>
      <c r="DJ170" s="47"/>
      <c r="DK170" s="47"/>
      <c r="DL170" s="47"/>
      <c r="DM170" s="47"/>
      <c r="DN170" s="47"/>
      <c r="DO170" s="47"/>
      <c r="DP170" s="47"/>
      <c r="DQ170" s="47"/>
      <c r="DR170" s="47"/>
      <c r="DS170" s="47"/>
      <c r="DT170" s="47"/>
      <c r="DU170" s="47"/>
      <c r="DV170" s="47"/>
      <c r="DW170" s="198"/>
      <c r="DX170" s="47"/>
      <c r="DY170" s="194"/>
      <c r="DZ170" s="47"/>
      <c r="EA170" s="47"/>
      <c r="EB170" s="194"/>
      <c r="EC170" s="47"/>
      <c r="ED170" s="195"/>
      <c r="EE170" s="195"/>
      <c r="EF170" s="195"/>
      <c r="EG170" s="195"/>
      <c r="EH170" s="195">
        <v>11</v>
      </c>
      <c r="EI170" s="196">
        <f t="shared" si="8"/>
        <v>151.46999999999997</v>
      </c>
      <c r="EJ170" s="201">
        <f t="shared" si="9"/>
        <v>17.487899999999996</v>
      </c>
      <c r="EK170" s="202">
        <v>17</v>
      </c>
      <c r="FA170" s="251">
        <f t="shared" si="11"/>
        <v>13.769999999999998</v>
      </c>
    </row>
    <row r="171" spans="1:157" s="1" customFormat="1" ht="20.149999999999999" customHeight="1" x14ac:dyDescent="0.35">
      <c r="A171" s="47"/>
      <c r="B171" s="189" t="s">
        <v>929</v>
      </c>
      <c r="C171" s="47" t="s">
        <v>1410</v>
      </c>
      <c r="D171" s="2" t="s">
        <v>637</v>
      </c>
      <c r="E171" s="2" t="s">
        <v>33</v>
      </c>
      <c r="F171" s="48" t="s">
        <v>591</v>
      </c>
      <c r="G171" s="48" t="s">
        <v>37</v>
      </c>
      <c r="H171" s="328">
        <f>H169/25*2.5</f>
        <v>6.8849999999999989</v>
      </c>
      <c r="I171" s="47"/>
      <c r="J171" s="47"/>
      <c r="K171" s="47"/>
      <c r="L171" s="47"/>
      <c r="M171" s="47"/>
      <c r="N171" s="194"/>
      <c r="O171" s="194"/>
      <c r="P171" s="194"/>
      <c r="Q171" s="194"/>
      <c r="R171" s="47"/>
      <c r="S171" s="198">
        <v>9.5</v>
      </c>
      <c r="T171" s="47"/>
      <c r="U171" s="194"/>
      <c r="V171" s="47"/>
      <c r="W171" s="194"/>
      <c r="X171" s="47"/>
      <c r="Y171" s="194"/>
      <c r="Z171" s="194"/>
      <c r="AA171" s="47"/>
      <c r="AB171" s="47"/>
      <c r="AC171" s="47"/>
      <c r="AD171" s="47"/>
      <c r="AE171" s="194"/>
      <c r="AF171" s="194"/>
      <c r="AG171" s="194"/>
      <c r="AI171" s="47"/>
      <c r="AJ171" s="223"/>
      <c r="AK171" s="47"/>
      <c r="AL171" s="47"/>
      <c r="AM171" s="47"/>
      <c r="AN171" s="47"/>
      <c r="AO171" s="47"/>
      <c r="AP171" s="194"/>
      <c r="AQ171" s="47"/>
      <c r="AR171" s="47"/>
      <c r="AS171" s="47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4"/>
      <c r="BM171" s="194"/>
      <c r="BN171" s="194"/>
      <c r="BO171" s="194"/>
      <c r="BP171" s="194"/>
      <c r="BQ171" s="47"/>
      <c r="BR171" s="194"/>
      <c r="BS171" s="47"/>
      <c r="BT171" s="47"/>
      <c r="BU171" s="47"/>
      <c r="BV171" s="47"/>
      <c r="BW171" s="47"/>
      <c r="BX171" s="194">
        <v>9.5</v>
      </c>
      <c r="BY171" s="194"/>
      <c r="BZ171" s="194"/>
      <c r="CA171" s="194"/>
      <c r="CB171" s="194"/>
      <c r="CC171" s="47"/>
      <c r="CD171" s="47"/>
      <c r="CE171" s="47"/>
      <c r="CF171" s="47"/>
      <c r="CG171" s="47"/>
      <c r="CH171" s="47"/>
      <c r="CI171" s="47"/>
      <c r="CJ171" s="47"/>
      <c r="CK171" s="224"/>
      <c r="CL171" s="194"/>
      <c r="CM171" s="47"/>
      <c r="CN171" s="47"/>
      <c r="CO171" s="47"/>
      <c r="CP171" s="47"/>
      <c r="CQ171" s="47"/>
      <c r="CR171" s="47"/>
      <c r="CS171" s="47"/>
      <c r="CT171" s="47"/>
      <c r="CU171" s="47"/>
      <c r="CV171" s="47"/>
      <c r="CW171" s="47"/>
      <c r="CX171" s="194"/>
      <c r="CY171" s="47"/>
      <c r="CZ171" s="47"/>
      <c r="DA171" s="47"/>
      <c r="DB171" s="47"/>
      <c r="DC171" s="47"/>
      <c r="DD171" s="47"/>
      <c r="DE171" s="47"/>
      <c r="DF171" s="47"/>
      <c r="DG171" s="47"/>
      <c r="DH171" s="47"/>
      <c r="DI171" s="47"/>
      <c r="DJ171" s="47"/>
      <c r="DK171" s="47"/>
      <c r="DL171" s="47"/>
      <c r="DM171" s="47"/>
      <c r="DN171" s="47"/>
      <c r="DO171" s="47"/>
      <c r="DP171" s="47"/>
      <c r="DQ171" s="47"/>
      <c r="DR171" s="47"/>
      <c r="DS171" s="47"/>
      <c r="DT171" s="47"/>
      <c r="DU171" s="47"/>
      <c r="DV171" s="47"/>
      <c r="DW171" s="198"/>
      <c r="DX171" s="47"/>
      <c r="DY171" s="194"/>
      <c r="DZ171" s="47"/>
      <c r="EA171" s="47"/>
      <c r="EB171" s="194"/>
      <c r="EC171" s="47"/>
      <c r="ED171" s="195"/>
      <c r="EE171" s="195"/>
      <c r="EF171" s="195"/>
      <c r="EG171" s="195"/>
      <c r="EH171" s="195">
        <v>8</v>
      </c>
      <c r="EI171" s="196">
        <f t="shared" si="8"/>
        <v>55.079999999999991</v>
      </c>
      <c r="EJ171" s="201">
        <f t="shared" si="9"/>
        <v>8.7439499999999981</v>
      </c>
      <c r="EK171" s="202">
        <f t="shared" si="10"/>
        <v>9.5</v>
      </c>
      <c r="FA171" s="251">
        <f t="shared" si="11"/>
        <v>6.8849999999999989</v>
      </c>
    </row>
    <row r="172" spans="1:157" s="1" customFormat="1" ht="20.149999999999999" customHeight="1" x14ac:dyDescent="0.35">
      <c r="A172" s="47"/>
      <c r="B172" s="189" t="s">
        <v>930</v>
      </c>
      <c r="C172" s="47" t="s">
        <v>1410</v>
      </c>
      <c r="D172" s="2" t="s">
        <v>637</v>
      </c>
      <c r="E172" s="2" t="s">
        <v>33</v>
      </c>
      <c r="F172" s="48" t="s">
        <v>65</v>
      </c>
      <c r="G172" s="48" t="s">
        <v>37</v>
      </c>
      <c r="H172" s="328">
        <f>H169/25</f>
        <v>2.7539999999999996</v>
      </c>
      <c r="I172" s="47"/>
      <c r="J172" s="47"/>
      <c r="K172" s="47"/>
      <c r="L172" s="47"/>
      <c r="M172" s="47"/>
      <c r="N172" s="194"/>
      <c r="O172" s="194"/>
      <c r="P172" s="194"/>
      <c r="Q172" s="194"/>
      <c r="R172" s="47"/>
      <c r="S172" s="198"/>
      <c r="T172" s="47"/>
      <c r="U172" s="194"/>
      <c r="V172" s="47"/>
      <c r="W172" s="194"/>
      <c r="X172" s="47"/>
      <c r="Y172" s="194"/>
      <c r="Z172" s="194"/>
      <c r="AA172" s="47"/>
      <c r="AB172" s="47"/>
      <c r="AC172" s="47"/>
      <c r="AD172" s="47"/>
      <c r="AE172" s="194"/>
      <c r="AF172" s="194"/>
      <c r="AG172" s="194"/>
      <c r="AI172" s="47"/>
      <c r="AJ172" s="223"/>
      <c r="AK172" s="47"/>
      <c r="AL172" s="47"/>
      <c r="AM172" s="47"/>
      <c r="AN172" s="47"/>
      <c r="AO172" s="47"/>
      <c r="AP172" s="194"/>
      <c r="AQ172" s="47"/>
      <c r="AR172" s="47"/>
      <c r="AS172" s="47"/>
      <c r="AT172" s="194"/>
      <c r="AU172" s="194"/>
      <c r="AV172" s="194"/>
      <c r="AW172" s="194"/>
      <c r="AX172" s="194"/>
      <c r="AY172" s="194"/>
      <c r="AZ172" s="194"/>
      <c r="BA172" s="194"/>
      <c r="BB172" s="194"/>
      <c r="BC172" s="194"/>
      <c r="BD172" s="194"/>
      <c r="BE172" s="194"/>
      <c r="BF172" s="194"/>
      <c r="BG172" s="194"/>
      <c r="BH172" s="194"/>
      <c r="BI172" s="194"/>
      <c r="BJ172" s="194"/>
      <c r="BK172" s="194"/>
      <c r="BL172" s="194"/>
      <c r="BM172" s="194"/>
      <c r="BN172" s="194"/>
      <c r="BO172" s="194"/>
      <c r="BP172" s="194"/>
      <c r="BQ172" s="47"/>
      <c r="BR172" s="194"/>
      <c r="BS172" s="47"/>
      <c r="BT172" s="47"/>
      <c r="BU172" s="47"/>
      <c r="BV172" s="47"/>
      <c r="BW172" s="47"/>
      <c r="BX172" s="194"/>
      <c r="BY172" s="194"/>
      <c r="BZ172" s="194"/>
      <c r="CA172" s="194"/>
      <c r="CB172" s="194"/>
      <c r="CC172" s="47"/>
      <c r="CD172" s="47"/>
      <c r="CE172" s="47"/>
      <c r="CF172" s="47"/>
      <c r="CG172" s="47"/>
      <c r="CH172" s="47"/>
      <c r="CI172" s="47"/>
      <c r="CJ172" s="47"/>
      <c r="CK172" s="224"/>
      <c r="CL172" s="194"/>
      <c r="CM172" s="47"/>
      <c r="CN172" s="47"/>
      <c r="CO172" s="47"/>
      <c r="CP172" s="47"/>
      <c r="CQ172" s="47"/>
      <c r="CR172" s="47"/>
      <c r="CS172" s="47"/>
      <c r="CT172" s="47"/>
      <c r="CU172" s="47"/>
      <c r="CV172" s="47"/>
      <c r="CW172" s="47"/>
      <c r="CX172" s="194"/>
      <c r="CY172" s="47"/>
      <c r="CZ172" s="47"/>
      <c r="DA172" s="47"/>
      <c r="DB172" s="47"/>
      <c r="DC172" s="47"/>
      <c r="DD172" s="47"/>
      <c r="DE172" s="47"/>
      <c r="DF172" s="47"/>
      <c r="DG172" s="47"/>
      <c r="DH172" s="47"/>
      <c r="DI172" s="47"/>
      <c r="DJ172" s="47"/>
      <c r="DK172" s="47"/>
      <c r="DL172" s="47"/>
      <c r="DM172" s="47"/>
      <c r="DN172" s="47"/>
      <c r="DO172" s="47"/>
      <c r="DP172" s="47"/>
      <c r="DQ172" s="47"/>
      <c r="DR172" s="47"/>
      <c r="DS172" s="47"/>
      <c r="DT172" s="47"/>
      <c r="DU172" s="47">
        <v>3.4</v>
      </c>
      <c r="DV172" s="47"/>
      <c r="DW172" s="198">
        <v>3.4</v>
      </c>
      <c r="DX172" s="47"/>
      <c r="DY172" s="194"/>
      <c r="DZ172" s="47"/>
      <c r="EA172" s="47"/>
      <c r="EB172" s="194"/>
      <c r="EC172" s="47"/>
      <c r="ED172" s="195"/>
      <c r="EE172" s="195"/>
      <c r="EF172" s="195"/>
      <c r="EG172" s="195"/>
      <c r="EH172" s="195"/>
      <c r="EI172" s="196">
        <f t="shared" si="8"/>
        <v>0</v>
      </c>
      <c r="EJ172" s="201">
        <f t="shared" si="9"/>
        <v>3.4975799999999997</v>
      </c>
      <c r="EK172" s="202">
        <f t="shared" si="10"/>
        <v>3.4</v>
      </c>
      <c r="FA172" s="251">
        <f t="shared" si="11"/>
        <v>2.7539999999999996</v>
      </c>
    </row>
    <row r="173" spans="1:157" s="1" customFormat="1" ht="20.149999999999999" customHeight="1" x14ac:dyDescent="0.35">
      <c r="A173" s="47"/>
      <c r="B173" s="189" t="s">
        <v>931</v>
      </c>
      <c r="C173" s="47" t="s">
        <v>324</v>
      </c>
      <c r="D173" s="2" t="s">
        <v>637</v>
      </c>
      <c r="E173" s="2" t="s">
        <v>33</v>
      </c>
      <c r="F173" s="48" t="s">
        <v>573</v>
      </c>
      <c r="G173" s="48" t="s">
        <v>37</v>
      </c>
      <c r="H173" s="57">
        <f>65*1.08</f>
        <v>70.2</v>
      </c>
      <c r="I173" s="47"/>
      <c r="J173" s="47"/>
      <c r="K173" s="47"/>
      <c r="L173" s="47"/>
      <c r="M173" s="47"/>
      <c r="N173" s="194"/>
      <c r="O173" s="194"/>
      <c r="P173" s="194"/>
      <c r="Q173" s="194"/>
      <c r="R173" s="47"/>
      <c r="S173" s="198"/>
      <c r="T173" s="47"/>
      <c r="U173" s="194"/>
      <c r="V173" s="47"/>
      <c r="W173" s="194"/>
      <c r="X173" s="47"/>
      <c r="Y173" s="194"/>
      <c r="Z173" s="194"/>
      <c r="AA173" s="47"/>
      <c r="AB173" s="47"/>
      <c r="AC173" s="47"/>
      <c r="AD173" s="47"/>
      <c r="AE173" s="194"/>
      <c r="AF173" s="194"/>
      <c r="AG173" s="194"/>
      <c r="AI173" s="47"/>
      <c r="AJ173" s="223"/>
      <c r="AK173" s="47"/>
      <c r="AL173" s="47"/>
      <c r="AM173" s="47"/>
      <c r="AN173" s="47"/>
      <c r="AO173" s="47"/>
      <c r="AP173" s="194"/>
      <c r="AQ173" s="47"/>
      <c r="AR173" s="47"/>
      <c r="AS173" s="47"/>
      <c r="AT173" s="194"/>
      <c r="AU173" s="194"/>
      <c r="AV173" s="194"/>
      <c r="AW173" s="194"/>
      <c r="AX173" s="194"/>
      <c r="AY173" s="194"/>
      <c r="AZ173" s="194"/>
      <c r="BA173" s="194"/>
      <c r="BB173" s="194"/>
      <c r="BC173" s="194"/>
      <c r="BD173" s="194"/>
      <c r="BE173" s="194"/>
      <c r="BF173" s="194"/>
      <c r="BG173" s="194"/>
      <c r="BH173" s="194"/>
      <c r="BI173" s="194"/>
      <c r="BJ173" s="194"/>
      <c r="BK173" s="194"/>
      <c r="BL173" s="194"/>
      <c r="BM173" s="194"/>
      <c r="BN173" s="194"/>
      <c r="BO173" s="194"/>
      <c r="BP173" s="194"/>
      <c r="BQ173" s="47"/>
      <c r="BR173" s="194"/>
      <c r="BS173" s="47"/>
      <c r="BT173" s="47"/>
      <c r="BU173" s="47"/>
      <c r="BV173" s="47"/>
      <c r="BW173" s="47"/>
      <c r="BX173" s="194"/>
      <c r="BY173" s="194"/>
      <c r="BZ173" s="194"/>
      <c r="CA173" s="194"/>
      <c r="CB173" s="194"/>
      <c r="CC173" s="47"/>
      <c r="CD173" s="47"/>
      <c r="CE173" s="47"/>
      <c r="CF173" s="47"/>
      <c r="CG173" s="47"/>
      <c r="CH173" s="47"/>
      <c r="CI173" s="47"/>
      <c r="CJ173" s="47"/>
      <c r="CK173" s="224"/>
      <c r="CL173" s="194"/>
      <c r="CM173" s="47"/>
      <c r="CN173" s="47"/>
      <c r="CO173" s="47"/>
      <c r="CP173" s="47"/>
      <c r="CQ173" s="47"/>
      <c r="CR173" s="47"/>
      <c r="CS173" s="47"/>
      <c r="CT173" s="47"/>
      <c r="CU173" s="47"/>
      <c r="CV173" s="47"/>
      <c r="CW173" s="47"/>
      <c r="CX173" s="194"/>
      <c r="CY173" s="47"/>
      <c r="CZ173" s="47"/>
      <c r="DA173" s="47"/>
      <c r="DB173" s="47"/>
      <c r="DC173" s="47"/>
      <c r="DD173" s="47"/>
      <c r="DE173" s="47"/>
      <c r="DF173" s="47"/>
      <c r="DG173" s="47"/>
      <c r="DH173" s="47"/>
      <c r="DI173" s="47"/>
      <c r="DJ173" s="47"/>
      <c r="DK173" s="47"/>
      <c r="DL173" s="47"/>
      <c r="DM173" s="47"/>
      <c r="DN173" s="47"/>
      <c r="DO173" s="47"/>
      <c r="DP173" s="47"/>
      <c r="DQ173" s="47"/>
      <c r="DR173" s="47"/>
      <c r="DS173" s="47"/>
      <c r="DT173" s="47"/>
      <c r="DU173" s="47"/>
      <c r="DV173" s="47"/>
      <c r="DW173" s="198"/>
      <c r="DX173" s="47"/>
      <c r="DY173" s="194"/>
      <c r="DZ173" s="47"/>
      <c r="EA173" s="47"/>
      <c r="EB173" s="194"/>
      <c r="EC173" s="47"/>
      <c r="ED173" s="195"/>
      <c r="EE173" s="195"/>
      <c r="EF173" s="195"/>
      <c r="EG173" s="195"/>
      <c r="EH173" s="195"/>
      <c r="EI173" s="196">
        <f t="shared" si="8"/>
        <v>0</v>
      </c>
      <c r="EJ173" s="201">
        <f t="shared" si="9"/>
        <v>89.154000000000011</v>
      </c>
      <c r="EK173" s="202">
        <v>0</v>
      </c>
      <c r="FA173" s="251">
        <f t="shared" si="11"/>
        <v>70.2</v>
      </c>
    </row>
    <row r="174" spans="1:157" s="1" customFormat="1" ht="20.149999999999999" customHeight="1" x14ac:dyDescent="0.35">
      <c r="A174" s="47"/>
      <c r="B174" s="189" t="s">
        <v>932</v>
      </c>
      <c r="C174" s="47" t="s">
        <v>324</v>
      </c>
      <c r="D174" s="2" t="s">
        <v>637</v>
      </c>
      <c r="E174" s="2" t="s">
        <v>33</v>
      </c>
      <c r="F174" s="48" t="s">
        <v>48</v>
      </c>
      <c r="G174" s="48" t="s">
        <v>37</v>
      </c>
      <c r="H174" s="57">
        <f>H173/25*5</f>
        <v>14.040000000000001</v>
      </c>
      <c r="I174" s="47"/>
      <c r="J174" s="47"/>
      <c r="K174" s="47"/>
      <c r="L174" s="47"/>
      <c r="M174" s="47"/>
      <c r="N174" s="194"/>
      <c r="O174" s="194"/>
      <c r="P174" s="194"/>
      <c r="Q174" s="194"/>
      <c r="R174" s="47"/>
      <c r="S174" s="194"/>
      <c r="T174" s="47"/>
      <c r="U174" s="194"/>
      <c r="V174" s="47"/>
      <c r="W174" s="194"/>
      <c r="X174" s="47"/>
      <c r="Y174" s="194"/>
      <c r="Z174" s="194"/>
      <c r="AA174" s="47"/>
      <c r="AB174" s="47"/>
      <c r="AC174" s="47"/>
      <c r="AD174" s="47"/>
      <c r="AE174" s="194"/>
      <c r="AF174" s="194"/>
      <c r="AG174" s="194"/>
      <c r="AI174" s="47"/>
      <c r="AJ174" s="198"/>
      <c r="AK174" s="47"/>
      <c r="AL174" s="47"/>
      <c r="AM174" s="47"/>
      <c r="AN174" s="47"/>
      <c r="AO174" s="47"/>
      <c r="AP174" s="194"/>
      <c r="AQ174" s="47"/>
      <c r="AR174" s="47"/>
      <c r="AS174" s="47"/>
      <c r="AT174" s="194"/>
      <c r="AU174" s="194"/>
      <c r="AV174" s="194"/>
      <c r="AW174" s="194"/>
      <c r="AX174" s="194"/>
      <c r="AY174" s="194"/>
      <c r="AZ174" s="194"/>
      <c r="BA174" s="194"/>
      <c r="BB174" s="194"/>
      <c r="BC174" s="194"/>
      <c r="BD174" s="194"/>
      <c r="BE174" s="194"/>
      <c r="BF174" s="194"/>
      <c r="BG174" s="194"/>
      <c r="BH174" s="194"/>
      <c r="BI174" s="194"/>
      <c r="BJ174" s="194"/>
      <c r="BK174" s="194"/>
      <c r="BL174" s="194"/>
      <c r="BM174" s="194"/>
      <c r="BN174" s="194"/>
      <c r="BO174" s="194"/>
      <c r="BP174" s="194"/>
      <c r="BQ174" s="47"/>
      <c r="BR174" s="194"/>
      <c r="BS174" s="47"/>
      <c r="BT174" s="47"/>
      <c r="BU174" s="47"/>
      <c r="BV174" s="47"/>
      <c r="BW174" s="47"/>
      <c r="BX174" s="194"/>
      <c r="BY174" s="194"/>
      <c r="BZ174" s="194"/>
      <c r="CA174" s="194"/>
      <c r="CB174" s="194"/>
      <c r="CC174" s="47"/>
      <c r="CD174" s="47"/>
      <c r="CE174" s="47"/>
      <c r="CF174" s="47"/>
      <c r="CG174" s="47">
        <v>19</v>
      </c>
      <c r="CH174" s="47">
        <v>20</v>
      </c>
      <c r="CI174" s="47">
        <v>20</v>
      </c>
      <c r="CJ174" s="47"/>
      <c r="CK174" s="47"/>
      <c r="CL174" s="194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194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198"/>
      <c r="DX174" s="47"/>
      <c r="DY174" s="194"/>
      <c r="DZ174" s="47"/>
      <c r="EA174" s="47"/>
      <c r="EB174" s="194"/>
      <c r="EC174" s="47"/>
      <c r="ED174" s="195"/>
      <c r="EE174" s="195"/>
      <c r="EF174" s="195"/>
      <c r="EG174" s="195"/>
      <c r="EH174" s="195"/>
      <c r="EI174" s="196">
        <f t="shared" si="8"/>
        <v>0</v>
      </c>
      <c r="EJ174" s="201">
        <f t="shared" si="9"/>
        <v>17.8308</v>
      </c>
      <c r="EK174" s="202">
        <f t="shared" si="10"/>
        <v>19.666666666666668</v>
      </c>
      <c r="FA174" s="251">
        <f t="shared" si="11"/>
        <v>14.040000000000001</v>
      </c>
    </row>
    <row r="175" spans="1:157" s="1" customFormat="1" ht="20.149999999999999" customHeight="1" x14ac:dyDescent="0.35">
      <c r="A175" s="47"/>
      <c r="B175" s="189" t="s">
        <v>1178</v>
      </c>
      <c r="C175" s="47"/>
      <c r="D175" s="2"/>
      <c r="E175" s="2"/>
      <c r="F175" s="48"/>
      <c r="G175" s="48"/>
      <c r="H175" s="223"/>
      <c r="I175" s="47"/>
      <c r="J175" s="47"/>
      <c r="K175" s="47"/>
      <c r="L175" s="47"/>
      <c r="M175" s="47"/>
      <c r="N175" s="194"/>
      <c r="O175" s="194"/>
      <c r="P175" s="194"/>
      <c r="Q175" s="194"/>
      <c r="R175" s="47"/>
      <c r="S175" s="194"/>
      <c r="T175" s="47"/>
      <c r="U175" s="194"/>
      <c r="V175" s="47"/>
      <c r="W175" s="194"/>
      <c r="X175" s="47"/>
      <c r="Y175" s="194"/>
      <c r="Z175" s="194"/>
      <c r="AA175" s="47"/>
      <c r="AB175" s="47"/>
      <c r="AC175" s="47"/>
      <c r="AD175" s="47"/>
      <c r="AE175" s="194"/>
      <c r="AF175" s="194"/>
      <c r="AG175" s="194"/>
      <c r="AI175" s="47"/>
      <c r="AJ175" s="198"/>
      <c r="AK175" s="47"/>
      <c r="AL175" s="47"/>
      <c r="AM175" s="47"/>
      <c r="AN175" s="47"/>
      <c r="AO175" s="47"/>
      <c r="AP175" s="194"/>
      <c r="AQ175" s="47"/>
      <c r="AR175" s="47"/>
      <c r="AS175" s="47"/>
      <c r="AT175" s="194"/>
      <c r="AU175" s="194"/>
      <c r="AV175" s="194"/>
      <c r="AW175" s="194"/>
      <c r="AX175" s="194"/>
      <c r="AY175" s="194"/>
      <c r="AZ175" s="194"/>
      <c r="BA175" s="194"/>
      <c r="BB175" s="194"/>
      <c r="BC175" s="194"/>
      <c r="BD175" s="194"/>
      <c r="BE175" s="194"/>
      <c r="BF175" s="194"/>
      <c r="BG175" s="194"/>
      <c r="BH175" s="194"/>
      <c r="BI175" s="194"/>
      <c r="BJ175" s="194"/>
      <c r="BK175" s="194"/>
      <c r="BL175" s="194"/>
      <c r="BM175" s="194"/>
      <c r="BN175" s="194"/>
      <c r="BO175" s="194"/>
      <c r="BP175" s="194"/>
      <c r="BQ175" s="47"/>
      <c r="BR175" s="194"/>
      <c r="BS175" s="47"/>
      <c r="BT175" s="47"/>
      <c r="BU175" s="47"/>
      <c r="BV175" s="47"/>
      <c r="BW175" s="47"/>
      <c r="BX175" s="194"/>
      <c r="BY175" s="194"/>
      <c r="BZ175" s="194"/>
      <c r="CA175" s="194"/>
      <c r="CB175" s="194"/>
      <c r="CC175" s="47"/>
      <c r="CD175" s="47"/>
      <c r="CE175" s="47"/>
      <c r="CF175" s="47"/>
      <c r="CG175" s="47"/>
      <c r="CH175" s="47"/>
      <c r="CI175" s="47"/>
      <c r="CJ175" s="47"/>
      <c r="CK175" s="47"/>
      <c r="CL175" s="194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194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>
        <v>3</v>
      </c>
      <c r="DV175" s="47"/>
      <c r="DW175" s="198"/>
      <c r="DX175" s="47"/>
      <c r="DY175" s="194"/>
      <c r="DZ175" s="47"/>
      <c r="EA175" s="47"/>
      <c r="EB175" s="194"/>
      <c r="EC175" s="47"/>
      <c r="ED175" s="195"/>
      <c r="EE175" s="195"/>
      <c r="EF175" s="195"/>
      <c r="EG175" s="195"/>
      <c r="EH175" s="195"/>
      <c r="EI175" s="196"/>
      <c r="EJ175" s="201"/>
      <c r="EK175" s="202"/>
      <c r="FA175" s="251">
        <f t="shared" si="11"/>
        <v>0</v>
      </c>
    </row>
    <row r="176" spans="1:157" s="1" customFormat="1" ht="20.149999999999999" customHeight="1" x14ac:dyDescent="0.35">
      <c r="A176" s="47"/>
      <c r="B176" s="189" t="s">
        <v>933</v>
      </c>
      <c r="C176" s="47" t="s">
        <v>177</v>
      </c>
      <c r="D176" s="2" t="s">
        <v>637</v>
      </c>
      <c r="E176" s="2" t="s">
        <v>33</v>
      </c>
      <c r="F176" s="48" t="s">
        <v>588</v>
      </c>
      <c r="G176" s="48" t="s">
        <v>37</v>
      </c>
      <c r="H176" s="328">
        <f>57.5*1.08</f>
        <v>62.1</v>
      </c>
      <c r="I176" s="47"/>
      <c r="J176" s="47"/>
      <c r="K176" s="47"/>
      <c r="L176" s="47"/>
      <c r="M176" s="47"/>
      <c r="N176" s="194"/>
      <c r="O176" s="194"/>
      <c r="P176" s="194"/>
      <c r="Q176" s="194"/>
      <c r="R176" s="47"/>
      <c r="S176" s="194"/>
      <c r="T176" s="47"/>
      <c r="U176" s="194"/>
      <c r="V176" s="47"/>
      <c r="W176" s="194"/>
      <c r="X176" s="47"/>
      <c r="Y176" s="194"/>
      <c r="Z176" s="194"/>
      <c r="AA176" s="47"/>
      <c r="AB176" s="47"/>
      <c r="AC176" s="47"/>
      <c r="AD176" s="47"/>
      <c r="AE176" s="194"/>
      <c r="AF176" s="194"/>
      <c r="AG176" s="194"/>
      <c r="AI176" s="47"/>
      <c r="AJ176" s="223"/>
      <c r="AK176" s="47"/>
      <c r="AL176" s="47"/>
      <c r="AM176" s="47"/>
      <c r="AN176" s="47"/>
      <c r="AO176" s="47"/>
      <c r="AP176" s="194"/>
      <c r="AQ176" s="47"/>
      <c r="AR176" s="47"/>
      <c r="AS176" s="47"/>
      <c r="AT176" s="194"/>
      <c r="AU176" s="194"/>
      <c r="AV176" s="194"/>
      <c r="AW176" s="194"/>
      <c r="AX176" s="194"/>
      <c r="AY176" s="194"/>
      <c r="AZ176" s="194"/>
      <c r="BA176" s="194"/>
      <c r="BB176" s="194"/>
      <c r="BC176" s="194"/>
      <c r="BD176" s="194"/>
      <c r="BE176" s="194"/>
      <c r="BF176" s="194"/>
      <c r="BG176" s="194"/>
      <c r="BH176" s="194"/>
      <c r="BI176" s="194"/>
      <c r="BJ176" s="194"/>
      <c r="BK176" s="194"/>
      <c r="BL176" s="194"/>
      <c r="BM176" s="194"/>
      <c r="BN176" s="194"/>
      <c r="BO176" s="194"/>
      <c r="BP176" s="194"/>
      <c r="BQ176" s="47"/>
      <c r="BR176" s="194"/>
      <c r="BS176" s="47"/>
      <c r="BT176" s="47"/>
      <c r="BU176" s="47"/>
      <c r="BV176" s="47"/>
      <c r="BW176" s="47"/>
      <c r="BX176" s="194"/>
      <c r="BY176" s="194"/>
      <c r="BZ176" s="194"/>
      <c r="CA176" s="194"/>
      <c r="CB176" s="194"/>
      <c r="CC176" s="47"/>
      <c r="CD176" s="47"/>
      <c r="CE176" s="47"/>
      <c r="CF176" s="47"/>
      <c r="CG176" s="47"/>
      <c r="CH176" s="47"/>
      <c r="CI176" s="47"/>
      <c r="CJ176" s="47"/>
      <c r="CK176" s="47"/>
      <c r="CL176" s="194"/>
      <c r="CM176" s="47"/>
      <c r="CN176" s="47"/>
      <c r="CO176" s="47"/>
      <c r="CP176" s="198">
        <v>78</v>
      </c>
      <c r="CQ176" s="47"/>
      <c r="CR176" s="47"/>
      <c r="CS176" s="47"/>
      <c r="CT176" s="47"/>
      <c r="CU176" s="47"/>
      <c r="CV176" s="47"/>
      <c r="CW176" s="47"/>
      <c r="CX176" s="194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198"/>
      <c r="DX176" s="47"/>
      <c r="DY176" s="194"/>
      <c r="DZ176" s="47"/>
      <c r="EA176" s="47"/>
      <c r="EB176" s="194"/>
      <c r="EC176" s="47"/>
      <c r="ED176" s="195"/>
      <c r="EE176" s="195"/>
      <c r="EF176" s="195"/>
      <c r="EG176" s="195"/>
      <c r="EH176" s="195">
        <v>23</v>
      </c>
      <c r="EI176" s="196">
        <f t="shared" si="8"/>
        <v>1428.3</v>
      </c>
      <c r="EJ176" s="201">
        <f t="shared" si="9"/>
        <v>78.867000000000004</v>
      </c>
      <c r="EK176" s="202">
        <f t="shared" si="10"/>
        <v>78</v>
      </c>
      <c r="FA176" s="251">
        <f t="shared" si="11"/>
        <v>62.1</v>
      </c>
    </row>
    <row r="177" spans="1:157" s="1" customFormat="1" ht="20.149999999999999" customHeight="1" x14ac:dyDescent="0.35">
      <c r="A177" s="47"/>
      <c r="B177" s="189" t="s">
        <v>934</v>
      </c>
      <c r="C177" s="47" t="s">
        <v>177</v>
      </c>
      <c r="D177" s="2" t="s">
        <v>637</v>
      </c>
      <c r="E177" s="2" t="s">
        <v>800</v>
      </c>
      <c r="F177" s="48" t="s">
        <v>48</v>
      </c>
      <c r="G177" s="48" t="s">
        <v>37</v>
      </c>
      <c r="H177" s="328">
        <f>H176/25*5</f>
        <v>12.42</v>
      </c>
      <c r="I177" s="47"/>
      <c r="J177" s="47"/>
      <c r="K177" s="47"/>
      <c r="L177" s="47"/>
      <c r="M177" s="47"/>
      <c r="N177" s="194"/>
      <c r="O177" s="194"/>
      <c r="P177" s="194"/>
      <c r="Q177" s="194"/>
      <c r="R177" s="47"/>
      <c r="S177" s="194"/>
      <c r="T177" s="47"/>
      <c r="U177" s="194"/>
      <c r="V177" s="47"/>
      <c r="W177" s="194"/>
      <c r="X177" s="198">
        <v>16</v>
      </c>
      <c r="Y177" s="194"/>
      <c r="Z177" s="194"/>
      <c r="AA177" s="47"/>
      <c r="AB177" s="47">
        <v>17</v>
      </c>
      <c r="AC177" s="47"/>
      <c r="AD177" s="47"/>
      <c r="AE177" s="194"/>
      <c r="AF177" s="194"/>
      <c r="AG177" s="194"/>
      <c r="AI177" s="47"/>
      <c r="AJ177" s="223"/>
      <c r="AK177" s="47"/>
      <c r="AL177" s="47"/>
      <c r="AM177" s="47"/>
      <c r="AN177" s="47"/>
      <c r="AO177" s="47"/>
      <c r="AP177" s="194"/>
      <c r="AQ177" s="47"/>
      <c r="AR177" s="47">
        <v>17</v>
      </c>
      <c r="AS177" s="47"/>
      <c r="AT177" s="194"/>
      <c r="AU177" s="194"/>
      <c r="AV177" s="194"/>
      <c r="AW177" s="194"/>
      <c r="AX177" s="194"/>
      <c r="AY177" s="194"/>
      <c r="AZ177" s="194"/>
      <c r="BA177" s="194"/>
      <c r="BB177" s="194"/>
      <c r="BC177" s="194"/>
      <c r="BD177" s="194"/>
      <c r="BE177" s="194"/>
      <c r="BF177" s="194"/>
      <c r="BG177" s="194"/>
      <c r="BH177" s="194"/>
      <c r="BI177" s="194"/>
      <c r="BJ177" s="194"/>
      <c r="BK177" s="194"/>
      <c r="BL177" s="194"/>
      <c r="BM177" s="194"/>
      <c r="BN177" s="194"/>
      <c r="BO177" s="194"/>
      <c r="BP177" s="194"/>
      <c r="BQ177" s="47"/>
      <c r="BR177" s="194"/>
      <c r="BS177" s="47"/>
      <c r="BT177" s="47">
        <v>17</v>
      </c>
      <c r="BU177" s="47"/>
      <c r="BV177" s="47"/>
      <c r="BW177" s="47"/>
      <c r="BX177" s="194"/>
      <c r="BY177" s="194"/>
      <c r="BZ177" s="194"/>
      <c r="CA177" s="194"/>
      <c r="CB177" s="194"/>
      <c r="CC177" s="47"/>
      <c r="CD177" s="47"/>
      <c r="CE177" s="47"/>
      <c r="CF177" s="47"/>
      <c r="CG177" s="47">
        <v>17</v>
      </c>
      <c r="CH177" s="47"/>
      <c r="CI177" s="47"/>
      <c r="CJ177" s="47"/>
      <c r="CK177" s="47"/>
      <c r="CL177" s="194"/>
      <c r="CM177" s="47"/>
      <c r="CN177" s="47"/>
      <c r="CO177" s="47"/>
      <c r="CP177" s="47">
        <v>17</v>
      </c>
      <c r="CQ177" s="47"/>
      <c r="CR177" s="47"/>
      <c r="CS177" s="47"/>
      <c r="CT177" s="47"/>
      <c r="CU177" s="47"/>
      <c r="CV177" s="47"/>
      <c r="CW177" s="47"/>
      <c r="CX177" s="194"/>
      <c r="CY177" s="47">
        <v>17</v>
      </c>
      <c r="CZ177" s="47"/>
      <c r="DA177" s="47"/>
      <c r="DB177" s="47"/>
      <c r="DC177" s="47"/>
      <c r="DD177" s="47"/>
      <c r="DE177" s="47"/>
      <c r="DF177" s="47"/>
      <c r="DG177" s="47"/>
      <c r="DH177" s="47"/>
      <c r="DI177" s="47"/>
      <c r="DJ177" s="47">
        <v>17</v>
      </c>
      <c r="DK177" s="47"/>
      <c r="DL177" s="47"/>
      <c r="DM177" s="47"/>
      <c r="DN177" s="47"/>
      <c r="DO177" s="47"/>
      <c r="DP177" s="47"/>
      <c r="DQ177" s="47"/>
      <c r="DR177" s="47"/>
      <c r="DS177" s="47"/>
      <c r="DT177" s="47"/>
      <c r="DU177" s="47"/>
      <c r="DV177" s="47"/>
      <c r="DW177" s="198"/>
      <c r="DX177" s="47"/>
      <c r="DY177" s="194"/>
      <c r="DZ177" s="47"/>
      <c r="EA177" s="47"/>
      <c r="EB177" s="194"/>
      <c r="EC177" s="47"/>
      <c r="ED177" s="195"/>
      <c r="EE177" s="195"/>
      <c r="EF177" s="195"/>
      <c r="EG177" s="195"/>
      <c r="EH177" s="195">
        <v>7</v>
      </c>
      <c r="EI177" s="196">
        <f t="shared" si="8"/>
        <v>86.94</v>
      </c>
      <c r="EJ177" s="201">
        <f t="shared" si="9"/>
        <v>15.773400000000001</v>
      </c>
      <c r="EK177" s="202">
        <f t="shared" si="10"/>
        <v>16.875</v>
      </c>
      <c r="FA177" s="251">
        <f t="shared" si="11"/>
        <v>12.42</v>
      </c>
    </row>
    <row r="178" spans="1:157" s="1" customFormat="1" ht="20.149999999999999" customHeight="1" x14ac:dyDescent="0.35">
      <c r="A178" s="47"/>
      <c r="B178" s="189" t="s">
        <v>935</v>
      </c>
      <c r="C178" s="47" t="s">
        <v>177</v>
      </c>
      <c r="D178" s="2" t="s">
        <v>637</v>
      </c>
      <c r="E178" s="2" t="s">
        <v>800</v>
      </c>
      <c r="F178" s="48" t="s">
        <v>31</v>
      </c>
      <c r="G178" s="48" t="s">
        <v>37</v>
      </c>
      <c r="H178" s="328">
        <f>H176/25</f>
        <v>2.484</v>
      </c>
      <c r="I178" s="47"/>
      <c r="J178" s="47"/>
      <c r="K178" s="47"/>
      <c r="L178" s="47"/>
      <c r="M178" s="47"/>
      <c r="N178" s="194"/>
      <c r="O178" s="194"/>
      <c r="P178" s="194"/>
      <c r="Q178" s="194"/>
      <c r="R178" s="47"/>
      <c r="S178" s="194"/>
      <c r="T178" s="47"/>
      <c r="U178" s="194"/>
      <c r="V178" s="47"/>
      <c r="W178" s="194"/>
      <c r="X178" s="47"/>
      <c r="Y178" s="194"/>
      <c r="Z178" s="194"/>
      <c r="AA178" s="47"/>
      <c r="AB178" s="47"/>
      <c r="AC178" s="47"/>
      <c r="AD178" s="47"/>
      <c r="AE178" s="194"/>
      <c r="AF178" s="194"/>
      <c r="AG178" s="194"/>
      <c r="AI178" s="47"/>
      <c r="AJ178" s="223"/>
      <c r="AK178" s="47"/>
      <c r="AL178" s="47"/>
      <c r="AM178" s="47"/>
      <c r="AN178" s="47"/>
      <c r="AO178" s="47"/>
      <c r="AP178" s="194"/>
      <c r="AQ178" s="47"/>
      <c r="AR178" s="47"/>
      <c r="AS178" s="47"/>
      <c r="AT178" s="194"/>
      <c r="AU178" s="194"/>
      <c r="AV178" s="194"/>
      <c r="AW178" s="194"/>
      <c r="AX178" s="194"/>
      <c r="AY178" s="194"/>
      <c r="AZ178" s="194"/>
      <c r="BA178" s="194"/>
      <c r="BB178" s="194"/>
      <c r="BC178" s="194"/>
      <c r="BD178" s="194"/>
      <c r="BE178" s="194"/>
      <c r="BF178" s="194"/>
      <c r="BG178" s="194"/>
      <c r="BH178" s="194"/>
      <c r="BI178" s="194"/>
      <c r="BJ178" s="194"/>
      <c r="BK178" s="194"/>
      <c r="BL178" s="194"/>
      <c r="BM178" s="194"/>
      <c r="BN178" s="194"/>
      <c r="BO178" s="194"/>
      <c r="BP178" s="194"/>
      <c r="BQ178" s="47"/>
      <c r="BR178" s="194"/>
      <c r="BS178" s="47"/>
      <c r="BT178" s="47"/>
      <c r="BU178" s="47"/>
      <c r="BV178" s="47"/>
      <c r="BW178" s="47"/>
      <c r="BX178" s="194"/>
      <c r="BY178" s="194"/>
      <c r="BZ178" s="194"/>
      <c r="CA178" s="194"/>
      <c r="CB178" s="194"/>
      <c r="CC178" s="47"/>
      <c r="CD178" s="47"/>
      <c r="CE178" s="47"/>
      <c r="CF178" s="47"/>
      <c r="CG178" s="47"/>
      <c r="CH178" s="47"/>
      <c r="CI178" s="47"/>
      <c r="CJ178" s="47"/>
      <c r="CK178" s="47"/>
      <c r="CL178" s="194"/>
      <c r="CM178" s="47"/>
      <c r="CN178" s="47"/>
      <c r="CO178" s="47"/>
      <c r="CP178" s="47"/>
      <c r="CQ178" s="47"/>
      <c r="CR178" s="47"/>
      <c r="CS178" s="47"/>
      <c r="CT178" s="47"/>
      <c r="CU178" s="47"/>
      <c r="CV178" s="47"/>
      <c r="CW178" s="47"/>
      <c r="CX178" s="194"/>
      <c r="CY178" s="47"/>
      <c r="CZ178" s="47"/>
      <c r="DA178" s="47"/>
      <c r="DB178" s="47"/>
      <c r="DC178" s="47"/>
      <c r="DD178" s="47"/>
      <c r="DE178" s="47"/>
      <c r="DF178" s="47"/>
      <c r="DG178" s="47"/>
      <c r="DH178" s="47"/>
      <c r="DI178" s="47"/>
      <c r="DJ178" s="47"/>
      <c r="DK178" s="47"/>
      <c r="DL178" s="47"/>
      <c r="DM178" s="47"/>
      <c r="DN178" s="47"/>
      <c r="DO178" s="47"/>
      <c r="DP178" s="47"/>
      <c r="DQ178" s="47"/>
      <c r="DR178" s="47"/>
      <c r="DS178" s="47"/>
      <c r="DT178" s="47"/>
      <c r="DU178" s="47">
        <v>2.8</v>
      </c>
      <c r="DV178" s="47"/>
      <c r="DW178" s="198">
        <v>2.8</v>
      </c>
      <c r="DX178" s="47"/>
      <c r="DY178" s="194"/>
      <c r="DZ178" s="47"/>
      <c r="EA178" s="47"/>
      <c r="EB178" s="194"/>
      <c r="EC178" s="47"/>
      <c r="ED178" s="195"/>
      <c r="EE178" s="195"/>
      <c r="EF178" s="195"/>
      <c r="EG178" s="195"/>
      <c r="EH178" s="195"/>
      <c r="EI178" s="196">
        <f t="shared" si="8"/>
        <v>0</v>
      </c>
      <c r="EJ178" s="201">
        <f t="shared" si="9"/>
        <v>3.1546799999999999</v>
      </c>
      <c r="EK178" s="202">
        <f t="shared" si="10"/>
        <v>2.8</v>
      </c>
      <c r="FA178" s="251">
        <f t="shared" si="11"/>
        <v>2.484</v>
      </c>
    </row>
    <row r="179" spans="1:157" s="1" customFormat="1" ht="20.149999999999999" customHeight="1" x14ac:dyDescent="0.35">
      <c r="A179" s="47"/>
      <c r="B179" s="189" t="s">
        <v>936</v>
      </c>
      <c r="C179" s="47" t="s">
        <v>178</v>
      </c>
      <c r="D179" s="2" t="s">
        <v>696</v>
      </c>
      <c r="E179" s="2"/>
      <c r="F179" s="48" t="s">
        <v>333</v>
      </c>
      <c r="G179" s="48" t="s">
        <v>37</v>
      </c>
      <c r="H179" s="328">
        <f>1.8*25*1.08</f>
        <v>48.6</v>
      </c>
      <c r="I179" s="47"/>
      <c r="J179" s="47"/>
      <c r="K179" s="47"/>
      <c r="L179" s="47"/>
      <c r="M179" s="47"/>
      <c r="N179" s="194"/>
      <c r="O179" s="194"/>
      <c r="P179" s="194"/>
      <c r="Q179" s="194"/>
      <c r="R179" s="47"/>
      <c r="S179" s="194"/>
      <c r="T179" s="47"/>
      <c r="U179" s="194"/>
      <c r="V179" s="47"/>
      <c r="W179" s="194"/>
      <c r="X179" s="47"/>
      <c r="Y179" s="194"/>
      <c r="Z179" s="194"/>
      <c r="AA179" s="47"/>
      <c r="AB179" s="47"/>
      <c r="AC179" s="47"/>
      <c r="AD179" s="47"/>
      <c r="AE179" s="194"/>
      <c r="AF179" s="194"/>
      <c r="AG179" s="194"/>
      <c r="AI179" s="47"/>
      <c r="AJ179" s="198"/>
      <c r="AK179" s="47"/>
      <c r="AL179" s="47"/>
      <c r="AM179" s="47"/>
      <c r="AN179" s="47"/>
      <c r="AO179" s="47"/>
      <c r="AP179" s="194"/>
      <c r="AQ179" s="47"/>
      <c r="AR179" s="47"/>
      <c r="AS179" s="47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47"/>
      <c r="BR179" s="194"/>
      <c r="BS179" s="47"/>
      <c r="BT179" s="47"/>
      <c r="BU179" s="47"/>
      <c r="BV179" s="47"/>
      <c r="BW179" s="47"/>
      <c r="BX179" s="194">
        <v>58</v>
      </c>
      <c r="BY179" s="194"/>
      <c r="BZ179" s="194"/>
      <c r="CA179" s="194"/>
      <c r="CB179" s="194"/>
      <c r="CC179" s="47"/>
      <c r="CD179" s="47"/>
      <c r="CE179" s="47"/>
      <c r="CF179" s="47"/>
      <c r="CG179" s="47"/>
      <c r="CH179" s="47"/>
      <c r="CI179" s="47"/>
      <c r="CJ179" s="47"/>
      <c r="CK179" s="47"/>
      <c r="CL179" s="194"/>
      <c r="CM179" s="47"/>
      <c r="CN179" s="47"/>
      <c r="CO179" s="47"/>
      <c r="CP179" s="47">
        <v>58</v>
      </c>
      <c r="CQ179" s="47"/>
      <c r="CR179" s="47"/>
      <c r="CS179" s="47"/>
      <c r="CT179" s="47"/>
      <c r="CU179" s="47"/>
      <c r="CV179" s="47"/>
      <c r="CW179" s="47"/>
      <c r="CX179" s="194"/>
      <c r="CY179" s="47"/>
      <c r="CZ179" s="47"/>
      <c r="DA179" s="47"/>
      <c r="DB179" s="47"/>
      <c r="DC179" s="47"/>
      <c r="DD179" s="47"/>
      <c r="DE179" s="47"/>
      <c r="DF179" s="47"/>
      <c r="DG179" s="47"/>
      <c r="DH179" s="47"/>
      <c r="DI179" s="47"/>
      <c r="DJ179" s="47">
        <v>58</v>
      </c>
      <c r="DK179" s="47"/>
      <c r="DL179" s="47"/>
      <c r="DM179" s="47"/>
      <c r="DN179" s="47"/>
      <c r="DO179" s="47"/>
      <c r="DP179" s="47"/>
      <c r="DQ179" s="47"/>
      <c r="DR179" s="47"/>
      <c r="DS179" s="47"/>
      <c r="DT179" s="47"/>
      <c r="DU179" s="47"/>
      <c r="DV179" s="47"/>
      <c r="DW179" s="198"/>
      <c r="DX179" s="47"/>
      <c r="DY179" s="194"/>
      <c r="DZ179" s="47"/>
      <c r="EA179" s="47"/>
      <c r="EB179" s="194"/>
      <c r="EC179" s="47"/>
      <c r="ED179" s="195"/>
      <c r="EE179" s="195"/>
      <c r="EF179" s="195"/>
      <c r="EG179" s="195"/>
      <c r="EH179" s="195">
        <v>3</v>
      </c>
      <c r="EI179" s="196">
        <f t="shared" si="8"/>
        <v>145.80000000000001</v>
      </c>
      <c r="EJ179" s="201">
        <f t="shared" si="9"/>
        <v>61.722000000000001</v>
      </c>
      <c r="EK179" s="202">
        <f t="shared" si="10"/>
        <v>58</v>
      </c>
      <c r="FA179" s="251">
        <f t="shared" si="11"/>
        <v>48.6</v>
      </c>
    </row>
    <row r="180" spans="1:157" s="1" customFormat="1" ht="20.149999999999999" customHeight="1" x14ac:dyDescent="0.35">
      <c r="A180" s="2"/>
      <c r="B180" s="189" t="s">
        <v>937</v>
      </c>
      <c r="C180" s="47" t="s">
        <v>178</v>
      </c>
      <c r="D180" s="2" t="s">
        <v>696</v>
      </c>
      <c r="E180" s="2" t="s">
        <v>33</v>
      </c>
      <c r="F180" s="48" t="s">
        <v>551</v>
      </c>
      <c r="G180" s="48" t="s">
        <v>37</v>
      </c>
      <c r="H180" s="328">
        <f>H179/25*5</f>
        <v>9.7199999999999989</v>
      </c>
      <c r="I180" s="47"/>
      <c r="J180" s="47"/>
      <c r="K180" s="47"/>
      <c r="L180" s="47"/>
      <c r="M180" s="47"/>
      <c r="N180" s="194"/>
      <c r="O180" s="194"/>
      <c r="P180" s="194"/>
      <c r="Q180" s="194"/>
      <c r="R180" s="47"/>
      <c r="S180" s="194"/>
      <c r="T180" s="47"/>
      <c r="U180" s="194"/>
      <c r="V180" s="47"/>
      <c r="W180" s="194"/>
      <c r="X180" s="47">
        <v>13.5</v>
      </c>
      <c r="Y180" s="194"/>
      <c r="Z180" s="194"/>
      <c r="AA180" s="47"/>
      <c r="AB180" s="47">
        <v>14</v>
      </c>
      <c r="AC180" s="47"/>
      <c r="AD180" s="47"/>
      <c r="AE180" s="194"/>
      <c r="AF180" s="194"/>
      <c r="AG180" s="194"/>
      <c r="AI180" s="47"/>
      <c r="AJ180" s="223"/>
      <c r="AK180" s="47"/>
      <c r="AL180" s="47">
        <v>14</v>
      </c>
      <c r="AM180" s="47"/>
      <c r="AN180" s="47"/>
      <c r="AO180" s="47">
        <v>14.5</v>
      </c>
      <c r="AP180" s="194"/>
      <c r="AQ180" s="194">
        <v>14</v>
      </c>
      <c r="AR180" s="47">
        <v>13</v>
      </c>
      <c r="AS180" s="47"/>
      <c r="AT180" s="194">
        <v>14</v>
      </c>
      <c r="AU180" s="194"/>
      <c r="AV180" s="194"/>
      <c r="AW180" s="194"/>
      <c r="AX180" s="194"/>
      <c r="AY180" s="194">
        <v>14</v>
      </c>
      <c r="AZ180" s="194">
        <v>13</v>
      </c>
      <c r="BA180" s="194"/>
      <c r="BB180" s="194"/>
      <c r="BC180" s="194"/>
      <c r="BD180" s="194"/>
      <c r="BE180" s="194"/>
      <c r="BF180" s="194"/>
      <c r="BG180" s="194">
        <v>14</v>
      </c>
      <c r="BH180" s="194"/>
      <c r="BI180" s="194"/>
      <c r="BJ180" s="194"/>
      <c r="BK180" s="194"/>
      <c r="BL180" s="194"/>
      <c r="BM180" s="194">
        <v>13.5</v>
      </c>
      <c r="BN180" s="194">
        <v>14</v>
      </c>
      <c r="BO180" s="194">
        <v>14</v>
      </c>
      <c r="BP180" s="194"/>
      <c r="BQ180" s="47"/>
      <c r="BR180" s="194"/>
      <c r="BS180" s="47">
        <v>13.5</v>
      </c>
      <c r="BT180" s="47">
        <v>13.5</v>
      </c>
      <c r="BU180" s="47"/>
      <c r="BV180" s="47"/>
      <c r="BW180" s="47"/>
      <c r="BX180" s="194">
        <v>14</v>
      </c>
      <c r="BY180" s="194"/>
      <c r="BZ180" s="194">
        <v>14</v>
      </c>
      <c r="CA180" s="194"/>
      <c r="CB180" s="194"/>
      <c r="CC180" s="47"/>
      <c r="CD180" s="47"/>
      <c r="CE180" s="47">
        <v>13</v>
      </c>
      <c r="CF180" s="47"/>
      <c r="CG180" s="47">
        <v>14</v>
      </c>
      <c r="CH180" s="47"/>
      <c r="CI180" s="47">
        <v>14</v>
      </c>
      <c r="CJ180" s="47"/>
      <c r="CK180" s="224"/>
      <c r="CL180" s="194"/>
      <c r="CM180" s="47"/>
      <c r="CN180" s="47"/>
      <c r="CO180" s="47">
        <v>13.5</v>
      </c>
      <c r="CP180" s="47"/>
      <c r="CQ180" s="47">
        <v>13</v>
      </c>
      <c r="CR180" s="47"/>
      <c r="CS180" s="198">
        <v>14</v>
      </c>
      <c r="CT180" s="47"/>
      <c r="CU180" s="47"/>
      <c r="CV180" s="47">
        <v>14</v>
      </c>
      <c r="CW180" s="47">
        <v>13</v>
      </c>
      <c r="CX180" s="194">
        <v>13.5</v>
      </c>
      <c r="CY180" s="47"/>
      <c r="CZ180" s="47">
        <v>14</v>
      </c>
      <c r="DA180" s="47"/>
      <c r="DB180" s="47">
        <v>13</v>
      </c>
      <c r="DC180" s="47"/>
      <c r="DD180" s="47"/>
      <c r="DE180" s="47"/>
      <c r="DF180" s="47"/>
      <c r="DG180" s="47"/>
      <c r="DH180" s="47"/>
      <c r="DI180" s="47"/>
      <c r="DJ180" s="47">
        <v>13.5</v>
      </c>
      <c r="DK180" s="47"/>
      <c r="DL180" s="47"/>
      <c r="DM180" s="47"/>
      <c r="DN180" s="47"/>
      <c r="DO180" s="47"/>
      <c r="DP180" s="47"/>
      <c r="DQ180" s="47"/>
      <c r="DR180" s="47"/>
      <c r="DS180" s="47"/>
      <c r="DT180" s="47"/>
      <c r="DU180" s="47"/>
      <c r="DV180" s="47">
        <v>13</v>
      </c>
      <c r="DW180" s="198"/>
      <c r="DX180" s="47"/>
      <c r="DY180" s="194"/>
      <c r="DZ180" s="47"/>
      <c r="EA180" s="47"/>
      <c r="EB180" s="194"/>
      <c r="EC180" s="47"/>
      <c r="ED180" s="195"/>
      <c r="EE180" s="195"/>
      <c r="EF180" s="195"/>
      <c r="EG180" s="195">
        <v>14</v>
      </c>
      <c r="EH180" s="195">
        <v>28</v>
      </c>
      <c r="EI180" s="196">
        <f t="shared" si="8"/>
        <v>272.15999999999997</v>
      </c>
      <c r="EJ180" s="201">
        <f t="shared" si="9"/>
        <v>12.344399999999998</v>
      </c>
      <c r="EK180" s="202">
        <v>13</v>
      </c>
      <c r="FA180" s="251">
        <f t="shared" si="11"/>
        <v>9.7199999999999989</v>
      </c>
    </row>
    <row r="181" spans="1:157" s="1" customFormat="1" ht="20.149999999999999" customHeight="1" x14ac:dyDescent="0.35">
      <c r="A181" s="2"/>
      <c r="B181" s="189" t="s">
        <v>938</v>
      </c>
      <c r="C181" s="47" t="s">
        <v>178</v>
      </c>
      <c r="D181" s="2" t="s">
        <v>696</v>
      </c>
      <c r="E181" s="2" t="s">
        <v>33</v>
      </c>
      <c r="F181" s="48" t="s">
        <v>36</v>
      </c>
      <c r="G181" s="48" t="s">
        <v>37</v>
      </c>
      <c r="H181" s="328">
        <f>H180/5*2</f>
        <v>3.8879999999999995</v>
      </c>
      <c r="I181" s="47"/>
      <c r="J181" s="47"/>
      <c r="K181" s="47"/>
      <c r="L181" s="47"/>
      <c r="M181" s="47"/>
      <c r="N181" s="194"/>
      <c r="O181" s="194"/>
      <c r="P181" s="194"/>
      <c r="Q181" s="194"/>
      <c r="R181" s="47"/>
      <c r="S181" s="194"/>
      <c r="T181" s="47"/>
      <c r="U181" s="194"/>
      <c r="V181" s="47"/>
      <c r="W181" s="194"/>
      <c r="X181" s="47"/>
      <c r="Y181" s="194"/>
      <c r="Z181" s="194"/>
      <c r="AA181" s="47"/>
      <c r="AB181" s="47"/>
      <c r="AC181" s="47"/>
      <c r="AD181" s="47"/>
      <c r="AE181" s="194"/>
      <c r="AF181" s="194"/>
      <c r="AG181" s="194"/>
      <c r="AI181" s="47"/>
      <c r="AJ181" s="223"/>
      <c r="AK181" s="47"/>
      <c r="AL181" s="47"/>
      <c r="AM181" s="47"/>
      <c r="AN181" s="47"/>
      <c r="AO181" s="47"/>
      <c r="AP181" s="194"/>
      <c r="AQ181" s="194"/>
      <c r="AR181" s="47"/>
      <c r="AS181" s="47"/>
      <c r="AT181" s="194"/>
      <c r="AU181" s="194"/>
      <c r="AV181" s="194"/>
      <c r="AW181" s="194"/>
      <c r="AX181" s="194"/>
      <c r="AY181" s="194"/>
      <c r="AZ181" s="194"/>
      <c r="BA181" s="194"/>
      <c r="BB181" s="194"/>
      <c r="BC181" s="194"/>
      <c r="BD181" s="194"/>
      <c r="BE181" s="194"/>
      <c r="BF181" s="194"/>
      <c r="BG181" s="194"/>
      <c r="BH181" s="194"/>
      <c r="BI181" s="194"/>
      <c r="BJ181" s="194"/>
      <c r="BK181" s="194"/>
      <c r="BL181" s="194"/>
      <c r="BM181" s="194"/>
      <c r="BN181" s="194"/>
      <c r="BO181" s="194"/>
      <c r="BP181" s="194"/>
      <c r="BQ181" s="47"/>
      <c r="BR181" s="194"/>
      <c r="BS181" s="47"/>
      <c r="BT181" s="47"/>
      <c r="BU181" s="47"/>
      <c r="BV181" s="47"/>
      <c r="BW181" s="47"/>
      <c r="BX181" s="194"/>
      <c r="BY181" s="194"/>
      <c r="BZ181" s="194"/>
      <c r="CA181" s="194"/>
      <c r="CB181" s="194"/>
      <c r="CC181" s="47"/>
      <c r="CD181" s="47"/>
      <c r="CE181" s="47"/>
      <c r="CF181" s="47"/>
      <c r="CG181" s="47"/>
      <c r="CH181" s="47"/>
      <c r="CI181" s="47"/>
      <c r="CJ181" s="47"/>
      <c r="CK181" s="224"/>
      <c r="CL181" s="194">
        <v>5.2</v>
      </c>
      <c r="CM181" s="47"/>
      <c r="CN181" s="47"/>
      <c r="CO181" s="47"/>
      <c r="CP181" s="47"/>
      <c r="CQ181" s="47"/>
      <c r="CR181" s="47"/>
      <c r="CS181" s="198"/>
      <c r="CT181" s="47"/>
      <c r="CU181" s="47"/>
      <c r="CV181" s="47"/>
      <c r="CW181" s="47"/>
      <c r="CX181" s="194"/>
      <c r="CY181" s="47"/>
      <c r="CZ181" s="47"/>
      <c r="DA181" s="47"/>
      <c r="DB181" s="47"/>
      <c r="DC181" s="47"/>
      <c r="DD181" s="47"/>
      <c r="DE181" s="47"/>
      <c r="DF181" s="47"/>
      <c r="DG181" s="47"/>
      <c r="DH181" s="47"/>
      <c r="DI181" s="47"/>
      <c r="DJ181" s="47"/>
      <c r="DK181" s="47"/>
      <c r="DL181" s="47"/>
      <c r="DM181" s="47"/>
      <c r="DN181" s="47"/>
      <c r="DO181" s="47"/>
      <c r="DP181" s="47"/>
      <c r="DQ181" s="47"/>
      <c r="DR181" s="47"/>
      <c r="DS181" s="47"/>
      <c r="DT181" s="47"/>
      <c r="DU181" s="47"/>
      <c r="DV181" s="47"/>
      <c r="DW181" s="198"/>
      <c r="DX181" s="47"/>
      <c r="DY181" s="194"/>
      <c r="DZ181" s="47"/>
      <c r="EA181" s="47"/>
      <c r="EB181" s="194"/>
      <c r="EC181" s="47"/>
      <c r="ED181" s="195"/>
      <c r="EE181" s="195"/>
      <c r="EF181" s="195"/>
      <c r="EG181" s="195"/>
      <c r="EH181" s="195">
        <v>2</v>
      </c>
      <c r="EI181" s="196">
        <f t="shared" si="8"/>
        <v>7.7759999999999989</v>
      </c>
      <c r="EJ181" s="201">
        <f t="shared" si="9"/>
        <v>4.937759999999999</v>
      </c>
      <c r="EK181" s="202">
        <f t="shared" si="10"/>
        <v>5.2</v>
      </c>
      <c r="FA181" s="251">
        <f t="shared" si="11"/>
        <v>3.8879999999999995</v>
      </c>
    </row>
    <row r="182" spans="1:157" s="1" customFormat="1" ht="20.149999999999999" customHeight="1" x14ac:dyDescent="0.35">
      <c r="A182" s="47"/>
      <c r="B182" s="189" t="s">
        <v>939</v>
      </c>
      <c r="C182" s="47" t="s">
        <v>178</v>
      </c>
      <c r="D182" s="2" t="s">
        <v>696</v>
      </c>
      <c r="E182" s="2" t="s">
        <v>33</v>
      </c>
      <c r="F182" s="48" t="s">
        <v>632</v>
      </c>
      <c r="G182" s="48" t="s">
        <v>37</v>
      </c>
      <c r="H182" s="328">
        <f>H180/5</f>
        <v>1.9439999999999997</v>
      </c>
      <c r="I182" s="47"/>
      <c r="J182" s="47"/>
      <c r="K182" s="47"/>
      <c r="L182" s="47"/>
      <c r="M182" s="47"/>
      <c r="N182" s="194"/>
      <c r="O182" s="194"/>
      <c r="P182" s="194"/>
      <c r="Q182" s="194"/>
      <c r="R182" s="47"/>
      <c r="S182" s="194"/>
      <c r="T182" s="47"/>
      <c r="U182" s="194"/>
      <c r="V182" s="47"/>
      <c r="W182" s="194">
        <v>2.6</v>
      </c>
      <c r="X182" s="47"/>
      <c r="Y182" s="194"/>
      <c r="Z182" s="194"/>
      <c r="AA182" s="47"/>
      <c r="AB182" s="47"/>
      <c r="AC182" s="47"/>
      <c r="AD182" s="47"/>
      <c r="AE182" s="194"/>
      <c r="AF182" s="194"/>
      <c r="AG182" s="194"/>
      <c r="AI182" s="47"/>
      <c r="AJ182" s="223"/>
      <c r="AK182" s="47"/>
      <c r="AL182" s="47"/>
      <c r="AM182" s="47"/>
      <c r="AN182" s="47"/>
      <c r="AO182" s="47"/>
      <c r="AP182" s="194"/>
      <c r="AQ182" s="47"/>
      <c r="AR182" s="47"/>
      <c r="AS182" s="47"/>
      <c r="AT182" s="194"/>
      <c r="AU182" s="194"/>
      <c r="AV182" s="194"/>
      <c r="AW182" s="194"/>
      <c r="AX182" s="194"/>
      <c r="AY182" s="194"/>
      <c r="AZ182" s="194"/>
      <c r="BA182" s="194"/>
      <c r="BB182" s="194"/>
      <c r="BC182" s="194"/>
      <c r="BD182" s="194"/>
      <c r="BE182" s="194"/>
      <c r="BF182" s="194"/>
      <c r="BG182" s="194"/>
      <c r="BH182" s="194"/>
      <c r="BI182" s="194"/>
      <c r="BJ182" s="194"/>
      <c r="BK182" s="194"/>
      <c r="BL182" s="194"/>
      <c r="BM182" s="194"/>
      <c r="BN182" s="194"/>
      <c r="BO182" s="194"/>
      <c r="BP182" s="194"/>
      <c r="BQ182" s="47"/>
      <c r="BR182" s="194"/>
      <c r="BS182" s="47"/>
      <c r="BT182" s="47"/>
      <c r="BU182" s="47"/>
      <c r="BV182" s="47"/>
      <c r="BW182" s="47"/>
      <c r="BX182" s="194"/>
      <c r="BY182" s="194"/>
      <c r="BZ182" s="194"/>
      <c r="CA182" s="194"/>
      <c r="CB182" s="194"/>
      <c r="CC182" s="47"/>
      <c r="CD182" s="47"/>
      <c r="CE182" s="47"/>
      <c r="CF182" s="47"/>
      <c r="CG182" s="47"/>
      <c r="CH182" s="47"/>
      <c r="CI182" s="47"/>
      <c r="CJ182" s="47"/>
      <c r="CK182" s="224"/>
      <c r="CL182" s="194">
        <v>2.8</v>
      </c>
      <c r="CM182" s="227"/>
      <c r="CN182" s="47"/>
      <c r="CO182" s="47"/>
      <c r="CP182" s="47"/>
      <c r="CQ182" s="47"/>
      <c r="CR182" s="47"/>
      <c r="CS182" s="47"/>
      <c r="CT182" s="47"/>
      <c r="CU182" s="47"/>
      <c r="CV182" s="47"/>
      <c r="CW182" s="47"/>
      <c r="CX182" s="194"/>
      <c r="CY182" s="47"/>
      <c r="CZ182" s="47"/>
      <c r="DA182" s="47"/>
      <c r="DB182" s="47"/>
      <c r="DC182" s="47"/>
      <c r="DD182" s="47"/>
      <c r="DE182" s="47"/>
      <c r="DF182" s="47"/>
      <c r="DG182" s="47"/>
      <c r="DH182" s="47"/>
      <c r="DI182" s="47"/>
      <c r="DJ182" s="47"/>
      <c r="DK182" s="47"/>
      <c r="DL182" s="47"/>
      <c r="DM182" s="47"/>
      <c r="DN182" s="47"/>
      <c r="DO182" s="47"/>
      <c r="DP182" s="47"/>
      <c r="DQ182" s="47"/>
      <c r="DR182" s="47"/>
      <c r="DS182" s="47"/>
      <c r="DT182" s="47"/>
      <c r="DU182" s="47">
        <v>2.4</v>
      </c>
      <c r="DV182" s="47"/>
      <c r="DW182" s="198">
        <v>2.4</v>
      </c>
      <c r="DX182" s="47"/>
      <c r="DY182" s="194"/>
      <c r="DZ182" s="47"/>
      <c r="EA182" s="47"/>
      <c r="EB182" s="194"/>
      <c r="EC182" s="47"/>
      <c r="ED182" s="195"/>
      <c r="EE182" s="195"/>
      <c r="EF182" s="195"/>
      <c r="EG182" s="195"/>
      <c r="EH182" s="195"/>
      <c r="EI182" s="196">
        <f t="shared" si="8"/>
        <v>0</v>
      </c>
      <c r="EJ182" s="201">
        <f t="shared" si="9"/>
        <v>2.4688799999999995</v>
      </c>
      <c r="EK182" s="202">
        <f t="shared" si="10"/>
        <v>2.5500000000000003</v>
      </c>
      <c r="FA182" s="251">
        <f t="shared" si="11"/>
        <v>1.9439999999999997</v>
      </c>
    </row>
    <row r="183" spans="1:157" s="1" customFormat="1" ht="20.149999999999999" customHeight="1" x14ac:dyDescent="0.35">
      <c r="A183" s="47"/>
      <c r="B183" s="47" t="s">
        <v>1437</v>
      </c>
      <c r="C183" s="47" t="s">
        <v>178</v>
      </c>
      <c r="D183" s="325"/>
      <c r="E183" s="40" t="s">
        <v>33</v>
      </c>
      <c r="F183" s="2" t="s">
        <v>1172</v>
      </c>
      <c r="G183" s="2" t="s">
        <v>37</v>
      </c>
      <c r="H183" s="328">
        <f>H182*3</f>
        <v>5.831999999999999</v>
      </c>
      <c r="I183" s="47"/>
      <c r="J183" s="47"/>
      <c r="K183" s="47"/>
      <c r="L183" s="47"/>
      <c r="M183" s="47"/>
      <c r="N183" s="194"/>
      <c r="O183" s="194"/>
      <c r="P183" s="194"/>
      <c r="Q183" s="194"/>
      <c r="R183" s="47"/>
      <c r="S183" s="194"/>
      <c r="T183" s="47"/>
      <c r="U183" s="194"/>
      <c r="V183" s="47"/>
      <c r="W183" s="194"/>
      <c r="X183" s="47"/>
      <c r="Y183" s="194"/>
      <c r="Z183" s="194"/>
      <c r="AA183" s="47"/>
      <c r="AB183" s="47"/>
      <c r="AC183" s="47"/>
      <c r="AD183" s="47"/>
      <c r="AE183" s="194"/>
      <c r="AF183" s="194"/>
      <c r="AG183" s="194"/>
      <c r="AI183" s="47"/>
      <c r="AJ183" s="223"/>
      <c r="AK183" s="47"/>
      <c r="AL183" s="47"/>
      <c r="AM183" s="47"/>
      <c r="AN183" s="47"/>
      <c r="AO183" s="47"/>
      <c r="AP183" s="194"/>
      <c r="AQ183" s="47"/>
      <c r="AR183" s="47"/>
      <c r="AS183" s="47"/>
      <c r="AT183" s="194"/>
      <c r="AU183" s="194"/>
      <c r="AV183" s="194"/>
      <c r="AW183" s="194"/>
      <c r="AX183" s="194"/>
      <c r="AY183" s="194"/>
      <c r="AZ183" s="194"/>
      <c r="BA183" s="194"/>
      <c r="BB183" s="194"/>
      <c r="BC183" s="194"/>
      <c r="BD183" s="194"/>
      <c r="BE183" s="194"/>
      <c r="BF183" s="194"/>
      <c r="BG183" s="194"/>
      <c r="BH183" s="194"/>
      <c r="BI183" s="194"/>
      <c r="BJ183" s="194"/>
      <c r="BK183" s="194"/>
      <c r="BL183" s="194"/>
      <c r="BM183" s="194"/>
      <c r="BN183" s="194"/>
      <c r="BO183" s="194"/>
      <c r="BP183" s="194"/>
      <c r="BQ183" s="47"/>
      <c r="BR183" s="194"/>
      <c r="BS183" s="47"/>
      <c r="BT183" s="47"/>
      <c r="BU183" s="47"/>
      <c r="BV183" s="47"/>
      <c r="BW183" s="47"/>
      <c r="BX183" s="194"/>
      <c r="BY183" s="194"/>
      <c r="BZ183" s="194"/>
      <c r="CA183" s="194"/>
      <c r="CB183" s="194"/>
      <c r="CC183" s="47"/>
      <c r="CD183" s="47"/>
      <c r="CE183" s="47"/>
      <c r="CF183" s="47"/>
      <c r="CG183" s="47"/>
      <c r="CH183" s="47"/>
      <c r="CI183" s="47"/>
      <c r="CJ183" s="47"/>
      <c r="CK183" s="224"/>
      <c r="CL183" s="194">
        <v>7.2</v>
      </c>
      <c r="CM183" s="22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194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198"/>
      <c r="DX183" s="47"/>
      <c r="DY183" s="194"/>
      <c r="DZ183" s="47"/>
      <c r="EA183" s="47"/>
      <c r="EB183" s="194"/>
      <c r="EC183" s="47"/>
      <c r="ED183" s="195"/>
      <c r="EE183" s="195"/>
      <c r="EF183" s="195"/>
      <c r="EG183" s="195"/>
      <c r="EH183" s="195"/>
      <c r="EI183" s="196"/>
      <c r="EJ183" s="201"/>
      <c r="EK183" s="202"/>
      <c r="FA183" s="251">
        <f t="shared" si="11"/>
        <v>5.831999999999999</v>
      </c>
    </row>
    <row r="184" spans="1:157" s="1" customFormat="1" ht="20.149999999999999" customHeight="1" x14ac:dyDescent="0.35">
      <c r="A184" s="47"/>
      <c r="B184" s="189" t="s">
        <v>940</v>
      </c>
      <c r="C184" s="47" t="s">
        <v>703</v>
      </c>
      <c r="D184" s="2" t="s">
        <v>637</v>
      </c>
      <c r="E184" s="2" t="s">
        <v>33</v>
      </c>
      <c r="F184" s="48" t="s">
        <v>1359</v>
      </c>
      <c r="G184" s="48" t="s">
        <v>570</v>
      </c>
      <c r="H184" s="57">
        <v>1.1000000000000001</v>
      </c>
      <c r="I184" s="47"/>
      <c r="J184" s="47"/>
      <c r="K184" s="47"/>
      <c r="L184" s="47"/>
      <c r="M184" s="47"/>
      <c r="N184" s="194"/>
      <c r="O184" s="194"/>
      <c r="P184" s="194"/>
      <c r="Q184" s="194"/>
      <c r="R184" s="47"/>
      <c r="S184" s="194"/>
      <c r="T184" s="47"/>
      <c r="U184" s="194"/>
      <c r="V184" s="47"/>
      <c r="W184" s="347">
        <v>1.4</v>
      </c>
      <c r="X184" s="47"/>
      <c r="Y184" s="194"/>
      <c r="Z184" s="194"/>
      <c r="AA184" s="47"/>
      <c r="AB184" s="47"/>
      <c r="AC184" s="47"/>
      <c r="AD184" s="47"/>
      <c r="AE184" s="194"/>
      <c r="AF184" s="194"/>
      <c r="AG184" s="194"/>
      <c r="AI184" s="47"/>
      <c r="AJ184" s="223"/>
      <c r="AK184" s="47"/>
      <c r="AL184" s="47"/>
      <c r="AM184" s="47"/>
      <c r="AN184" s="47"/>
      <c r="AO184" s="47"/>
      <c r="AP184" s="194"/>
      <c r="AQ184" s="47"/>
      <c r="AR184" s="47"/>
      <c r="AS184" s="47"/>
      <c r="AT184" s="194"/>
      <c r="AU184" s="194"/>
      <c r="AV184" s="194"/>
      <c r="AW184" s="194"/>
      <c r="AX184" s="194"/>
      <c r="AY184" s="194"/>
      <c r="AZ184" s="194"/>
      <c r="BA184" s="194"/>
      <c r="BB184" s="194"/>
      <c r="BC184" s="194"/>
      <c r="BD184" s="194"/>
      <c r="BE184" s="194"/>
      <c r="BF184" s="194"/>
      <c r="BG184" s="194"/>
      <c r="BH184" s="194"/>
      <c r="BI184" s="194"/>
      <c r="BJ184" s="194"/>
      <c r="BK184" s="194"/>
      <c r="BL184" s="194"/>
      <c r="BM184" s="194"/>
      <c r="BN184" s="194"/>
      <c r="BO184" s="194"/>
      <c r="BP184" s="194"/>
      <c r="BQ184" s="47"/>
      <c r="BR184" s="194"/>
      <c r="BS184" s="47"/>
      <c r="BT184" s="47"/>
      <c r="BU184" s="47"/>
      <c r="BV184" s="47"/>
      <c r="BW184" s="47"/>
      <c r="BX184" s="194"/>
      <c r="BY184" s="194"/>
      <c r="BZ184" s="194"/>
      <c r="CA184" s="194"/>
      <c r="CB184" s="194"/>
      <c r="CC184" s="47"/>
      <c r="CD184" s="47"/>
      <c r="CE184" s="47"/>
      <c r="CF184" s="47"/>
      <c r="CG184" s="47"/>
      <c r="CH184" s="47"/>
      <c r="CI184" s="47"/>
      <c r="CJ184" s="47"/>
      <c r="CK184" s="224"/>
      <c r="CL184" s="194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194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>
        <v>0.8</v>
      </c>
      <c r="DV184" s="47"/>
      <c r="DW184" s="198">
        <v>0.8</v>
      </c>
      <c r="DX184" s="47"/>
      <c r="DY184" s="194"/>
      <c r="DZ184" s="47"/>
      <c r="EA184" s="47"/>
      <c r="EB184" s="194"/>
      <c r="EC184" s="47"/>
      <c r="ED184" s="195"/>
      <c r="EE184" s="195"/>
      <c r="EF184" s="195"/>
      <c r="EG184" s="195"/>
      <c r="EH184" s="195"/>
      <c r="EI184" s="196">
        <f t="shared" si="8"/>
        <v>0</v>
      </c>
      <c r="EJ184" s="201">
        <f t="shared" si="9"/>
        <v>1.3970000000000002</v>
      </c>
      <c r="EK184" s="202">
        <f t="shared" si="10"/>
        <v>1</v>
      </c>
      <c r="FA184" s="251">
        <f t="shared" si="11"/>
        <v>1.1000000000000001</v>
      </c>
    </row>
    <row r="185" spans="1:157" s="1" customFormat="1" ht="20.149999999999999" customHeight="1" x14ac:dyDescent="0.35">
      <c r="A185" s="47"/>
      <c r="B185" s="189" t="s">
        <v>941</v>
      </c>
      <c r="C185" s="47" t="s">
        <v>702</v>
      </c>
      <c r="D185" s="2" t="s">
        <v>637</v>
      </c>
      <c r="E185" s="2" t="s">
        <v>33</v>
      </c>
      <c r="F185" s="48" t="s">
        <v>613</v>
      </c>
      <c r="G185" s="48"/>
      <c r="H185" s="57"/>
      <c r="I185" s="47"/>
      <c r="J185" s="47"/>
      <c r="K185" s="47"/>
      <c r="L185" s="47"/>
      <c r="M185" s="47"/>
      <c r="N185" s="194"/>
      <c r="O185" s="194"/>
      <c r="P185" s="194"/>
      <c r="Q185" s="194"/>
      <c r="R185" s="47"/>
      <c r="S185" s="194"/>
      <c r="T185" s="47"/>
      <c r="U185" s="194"/>
      <c r="V185" s="47"/>
      <c r="W185" s="194"/>
      <c r="X185" s="47"/>
      <c r="Y185" s="194"/>
      <c r="Z185" s="194"/>
      <c r="AA185" s="47"/>
      <c r="AB185" s="47"/>
      <c r="AC185" s="47"/>
      <c r="AD185" s="47"/>
      <c r="AE185" s="194"/>
      <c r="AF185" s="194"/>
      <c r="AG185" s="194"/>
      <c r="AI185" s="47"/>
      <c r="AJ185" s="223"/>
      <c r="AK185" s="47"/>
      <c r="AL185" s="47"/>
      <c r="AM185" s="47"/>
      <c r="AN185" s="47"/>
      <c r="AO185" s="47"/>
      <c r="AP185" s="194"/>
      <c r="AQ185" s="47"/>
      <c r="AR185" s="47"/>
      <c r="AS185" s="47"/>
      <c r="AT185" s="194"/>
      <c r="AU185" s="194"/>
      <c r="AV185" s="194"/>
      <c r="AW185" s="194"/>
      <c r="AX185" s="194"/>
      <c r="AY185" s="194"/>
      <c r="AZ185" s="194"/>
      <c r="BA185" s="194"/>
      <c r="BB185" s="194"/>
      <c r="BC185" s="194"/>
      <c r="BD185" s="194"/>
      <c r="BE185" s="194"/>
      <c r="BF185" s="194"/>
      <c r="BG185" s="194"/>
      <c r="BH185" s="194"/>
      <c r="BI185" s="194"/>
      <c r="BJ185" s="194"/>
      <c r="BK185" s="194"/>
      <c r="BL185" s="194"/>
      <c r="BM185" s="194"/>
      <c r="BN185" s="194"/>
      <c r="BO185" s="194"/>
      <c r="BP185" s="194"/>
      <c r="BQ185" s="47"/>
      <c r="BR185" s="194"/>
      <c r="BS185" s="47"/>
      <c r="BT185" s="47"/>
      <c r="BU185" s="47"/>
      <c r="BV185" s="47"/>
      <c r="BW185" s="47"/>
      <c r="BX185" s="194"/>
      <c r="BY185" s="194"/>
      <c r="BZ185" s="194"/>
      <c r="CA185" s="194"/>
      <c r="CB185" s="194"/>
      <c r="CC185" s="47"/>
      <c r="CD185" s="47"/>
      <c r="CE185" s="47"/>
      <c r="CF185" s="47"/>
      <c r="CG185" s="47"/>
      <c r="CH185" s="47"/>
      <c r="CI185" s="47"/>
      <c r="CJ185" s="47"/>
      <c r="CK185" s="224"/>
      <c r="CL185" s="194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194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>
        <v>1</v>
      </c>
      <c r="DV185" s="47"/>
      <c r="DW185" s="198">
        <v>1.5</v>
      </c>
      <c r="DX185" s="47"/>
      <c r="DY185" s="194"/>
      <c r="DZ185" s="47"/>
      <c r="EA185" s="47"/>
      <c r="EB185" s="194"/>
      <c r="EC185" s="47"/>
      <c r="ED185" s="195"/>
      <c r="EE185" s="195"/>
      <c r="EF185" s="195"/>
      <c r="EG185" s="195"/>
      <c r="EH185" s="195"/>
      <c r="EI185" s="196">
        <f t="shared" si="8"/>
        <v>0</v>
      </c>
      <c r="EJ185" s="201">
        <f t="shared" si="9"/>
        <v>0</v>
      </c>
      <c r="EK185" s="202">
        <f t="shared" si="10"/>
        <v>1.25</v>
      </c>
      <c r="FA185" s="251">
        <f t="shared" si="11"/>
        <v>0</v>
      </c>
    </row>
    <row r="186" spans="1:157" s="1" customFormat="1" ht="20.149999999999999" customHeight="1" x14ac:dyDescent="0.35">
      <c r="A186" s="47"/>
      <c r="B186" s="189" t="s">
        <v>942</v>
      </c>
      <c r="C186" s="47" t="s">
        <v>1448</v>
      </c>
      <c r="D186" s="2" t="s">
        <v>770</v>
      </c>
      <c r="E186" s="2" t="s">
        <v>697</v>
      </c>
      <c r="F186" s="48" t="s">
        <v>79</v>
      </c>
      <c r="G186" s="48" t="s">
        <v>37</v>
      </c>
      <c r="H186" s="328">
        <f>78*1.08</f>
        <v>84.240000000000009</v>
      </c>
      <c r="I186" s="47"/>
      <c r="J186" s="47"/>
      <c r="K186" s="47"/>
      <c r="L186" s="47"/>
      <c r="M186" s="47"/>
      <c r="N186" s="194"/>
      <c r="O186" s="194"/>
      <c r="P186" s="194"/>
      <c r="Q186" s="194"/>
      <c r="R186" s="47"/>
      <c r="S186" s="194"/>
      <c r="T186" s="47"/>
      <c r="U186" s="194"/>
      <c r="V186" s="47"/>
      <c r="W186" s="194"/>
      <c r="X186" s="47"/>
      <c r="Y186" s="194"/>
      <c r="Z186" s="194"/>
      <c r="AA186" s="47"/>
      <c r="AB186" s="47"/>
      <c r="AC186" s="47"/>
      <c r="AD186" s="47"/>
      <c r="AE186" s="194"/>
      <c r="AF186" s="194"/>
      <c r="AG186" s="194"/>
      <c r="AI186" s="47"/>
      <c r="AJ186" s="223"/>
      <c r="AK186" s="47"/>
      <c r="AL186" s="47"/>
      <c r="AM186" s="47"/>
      <c r="AN186" s="47"/>
      <c r="AO186" s="47"/>
      <c r="AP186" s="194"/>
      <c r="AQ186" s="47"/>
      <c r="AR186" s="47"/>
      <c r="AS186" s="47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4"/>
      <c r="BO186" s="194"/>
      <c r="BP186" s="194"/>
      <c r="BQ186" s="47"/>
      <c r="BR186" s="194"/>
      <c r="BS186" s="47"/>
      <c r="BT186" s="47"/>
      <c r="BU186" s="47"/>
      <c r="BV186" s="47"/>
      <c r="BW186" s="47"/>
      <c r="BX186" s="194"/>
      <c r="BY186" s="194"/>
      <c r="BZ186" s="194"/>
      <c r="CA186" s="194"/>
      <c r="CB186" s="194"/>
      <c r="CC186" s="47"/>
      <c r="CD186" s="47"/>
      <c r="CE186" s="47"/>
      <c r="CF186" s="47"/>
      <c r="CG186" s="47"/>
      <c r="CH186" s="47"/>
      <c r="CI186" s="47"/>
      <c r="CJ186" s="47"/>
      <c r="CK186" s="224"/>
      <c r="CL186" s="194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194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198"/>
      <c r="DX186" s="47"/>
      <c r="DY186" s="194"/>
      <c r="DZ186" s="47"/>
      <c r="EA186" s="47"/>
      <c r="EB186" s="194"/>
      <c r="EC186" s="47"/>
      <c r="ED186" s="195"/>
      <c r="EE186" s="195"/>
      <c r="EF186" s="195"/>
      <c r="EG186" s="195"/>
      <c r="EH186" s="195">
        <v>17</v>
      </c>
      <c r="EI186" s="196">
        <f t="shared" si="8"/>
        <v>1432.0800000000002</v>
      </c>
      <c r="EJ186" s="201">
        <f t="shared" si="9"/>
        <v>106.98480000000001</v>
      </c>
      <c r="EK186" s="202">
        <v>80</v>
      </c>
      <c r="FA186" s="251">
        <f t="shared" si="11"/>
        <v>84.240000000000009</v>
      </c>
    </row>
    <row r="187" spans="1:157" s="1" customFormat="1" ht="20.149999999999999" customHeight="1" x14ac:dyDescent="0.35">
      <c r="A187" s="2"/>
      <c r="B187" s="189" t="s">
        <v>943</v>
      </c>
      <c r="C187" s="47" t="s">
        <v>1448</v>
      </c>
      <c r="D187" s="2" t="s">
        <v>770</v>
      </c>
      <c r="E187" s="2" t="s">
        <v>697</v>
      </c>
      <c r="F187" s="48" t="s">
        <v>593</v>
      </c>
      <c r="G187" s="48" t="s">
        <v>37</v>
      </c>
      <c r="H187" s="328">
        <f>H186/30*5</f>
        <v>14.040000000000001</v>
      </c>
      <c r="I187" s="47"/>
      <c r="J187" s="47"/>
      <c r="K187" s="47"/>
      <c r="L187" s="47"/>
      <c r="M187" s="47">
        <v>16.5</v>
      </c>
      <c r="N187" s="194"/>
      <c r="O187" s="194"/>
      <c r="P187" s="194"/>
      <c r="Q187" s="194"/>
      <c r="R187" s="47"/>
      <c r="S187" s="194"/>
      <c r="T187" s="47"/>
      <c r="U187" s="194"/>
      <c r="V187" s="47"/>
      <c r="W187" s="194"/>
      <c r="X187" s="47">
        <v>17.5</v>
      </c>
      <c r="Y187" s="194"/>
      <c r="Z187" s="194"/>
      <c r="AA187" s="47"/>
      <c r="AB187" s="47">
        <v>17</v>
      </c>
      <c r="AC187" s="47"/>
      <c r="AD187" s="47"/>
      <c r="AE187" s="194"/>
      <c r="AF187" s="194"/>
      <c r="AG187" s="194"/>
      <c r="AI187" s="47"/>
      <c r="AJ187" s="223"/>
      <c r="AK187" s="47"/>
      <c r="AL187" s="47">
        <v>17.5</v>
      </c>
      <c r="AM187" s="47"/>
      <c r="AN187" s="47"/>
      <c r="AO187" s="47"/>
      <c r="AP187" s="194"/>
      <c r="AQ187" s="47"/>
      <c r="AR187" s="47"/>
      <c r="AS187" s="47"/>
      <c r="AT187" s="194">
        <v>17.5</v>
      </c>
      <c r="AU187" s="194"/>
      <c r="AV187" s="194"/>
      <c r="AW187" s="194"/>
      <c r="AX187" s="194"/>
      <c r="AY187" s="194">
        <v>17</v>
      </c>
      <c r="AZ187" s="194">
        <v>17.5</v>
      </c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>
        <v>17.5</v>
      </c>
      <c r="BN187" s="194">
        <v>17</v>
      </c>
      <c r="BO187" s="194"/>
      <c r="BP187" s="194"/>
      <c r="BQ187" s="47"/>
      <c r="BR187" s="194"/>
      <c r="BS187" s="47">
        <v>18</v>
      </c>
      <c r="BT187" s="47">
        <v>18</v>
      </c>
      <c r="BU187" s="47"/>
      <c r="BV187" s="47"/>
      <c r="BW187" s="47"/>
      <c r="BX187" s="194">
        <v>17.5</v>
      </c>
      <c r="BY187" s="194"/>
      <c r="BZ187" s="194">
        <v>17.5</v>
      </c>
      <c r="CA187" s="194"/>
      <c r="CB187" s="194"/>
      <c r="CC187" s="47"/>
      <c r="CD187" s="47"/>
      <c r="CE187" s="47"/>
      <c r="CF187" s="47"/>
      <c r="CG187" s="47">
        <v>17</v>
      </c>
      <c r="CH187" s="47"/>
      <c r="CI187" s="47"/>
      <c r="CJ187" s="47"/>
      <c r="CK187" s="224"/>
      <c r="CL187" s="194"/>
      <c r="CM187" s="47"/>
      <c r="CN187" s="47"/>
      <c r="CO187" s="47"/>
      <c r="CP187" s="47"/>
      <c r="CQ187" s="47">
        <v>16</v>
      </c>
      <c r="CR187" s="47"/>
      <c r="CS187" s="198">
        <v>17.5</v>
      </c>
      <c r="CT187" s="47"/>
      <c r="CU187" s="47"/>
      <c r="CV187" s="47">
        <v>16.8</v>
      </c>
      <c r="CW187" s="47"/>
      <c r="CX187" s="194">
        <v>17.5</v>
      </c>
      <c r="CY187" s="47"/>
      <c r="CZ187" s="47">
        <v>17</v>
      </c>
      <c r="DA187" s="47"/>
      <c r="DB187" s="47"/>
      <c r="DC187" s="47"/>
      <c r="DD187" s="47"/>
      <c r="DE187" s="47"/>
      <c r="DF187" s="47"/>
      <c r="DG187" s="47"/>
      <c r="DH187" s="47"/>
      <c r="DI187" s="47"/>
      <c r="DJ187" s="47">
        <v>17</v>
      </c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>
        <v>17</v>
      </c>
      <c r="DV187" s="47">
        <v>17</v>
      </c>
      <c r="DW187" s="198"/>
      <c r="DX187" s="47"/>
      <c r="DY187" s="194"/>
      <c r="DZ187" s="47"/>
      <c r="EA187" s="47"/>
      <c r="EB187" s="194"/>
      <c r="EC187" s="47"/>
      <c r="ED187" s="195"/>
      <c r="EE187" s="195"/>
      <c r="EF187" s="195"/>
      <c r="EG187" s="195">
        <v>17</v>
      </c>
      <c r="EH187" s="195">
        <v>20</v>
      </c>
      <c r="EI187" s="196">
        <f t="shared" si="8"/>
        <v>280.8</v>
      </c>
      <c r="EJ187" s="201">
        <f t="shared" si="9"/>
        <v>17.8308</v>
      </c>
      <c r="EK187" s="202">
        <f t="shared" si="10"/>
        <v>17.218181818181819</v>
      </c>
      <c r="FA187" s="251">
        <f t="shared" si="11"/>
        <v>14.040000000000001</v>
      </c>
    </row>
    <row r="188" spans="1:157" s="1" customFormat="1" ht="20.149999999999999" customHeight="1" x14ac:dyDescent="0.35">
      <c r="A188" s="2"/>
      <c r="B188" s="189" t="s">
        <v>944</v>
      </c>
      <c r="C188" s="47" t="s">
        <v>1448</v>
      </c>
      <c r="D188" s="2" t="s">
        <v>770</v>
      </c>
      <c r="E188" s="2" t="s">
        <v>697</v>
      </c>
      <c r="F188" s="48" t="s">
        <v>733</v>
      </c>
      <c r="G188" s="48" t="s">
        <v>37</v>
      </c>
      <c r="H188" s="328">
        <f>H186/30*2*1.08</f>
        <v>6.0652800000000013</v>
      </c>
      <c r="I188" s="47"/>
      <c r="J188" s="47"/>
      <c r="K188" s="47"/>
      <c r="L188" s="47"/>
      <c r="M188" s="47"/>
      <c r="N188" s="194"/>
      <c r="O188" s="194"/>
      <c r="P188" s="194"/>
      <c r="Q188" s="194"/>
      <c r="R188" s="47"/>
      <c r="S188" s="194">
        <v>6.9</v>
      </c>
      <c r="T188" s="47"/>
      <c r="U188" s="194"/>
      <c r="V188" s="47"/>
      <c r="W188" s="194"/>
      <c r="X188" s="47"/>
      <c r="Y188" s="194"/>
      <c r="Z188" s="194"/>
      <c r="AA188" s="47"/>
      <c r="AB188" s="47"/>
      <c r="AC188" s="47"/>
      <c r="AD188" s="47"/>
      <c r="AE188" s="194"/>
      <c r="AF188" s="194"/>
      <c r="AG188" s="194"/>
      <c r="AI188" s="47"/>
      <c r="AJ188" s="223"/>
      <c r="AK188" s="47"/>
      <c r="AL188" s="47"/>
      <c r="AM188" s="47"/>
      <c r="AN188" s="47"/>
      <c r="AO188" s="47"/>
      <c r="AP188" s="194"/>
      <c r="AQ188" s="47"/>
      <c r="AR188" s="47"/>
      <c r="AS188" s="47"/>
      <c r="AT188" s="194"/>
      <c r="AU188" s="194"/>
      <c r="AV188" s="194"/>
      <c r="AW188" s="194"/>
      <c r="AX188" s="194"/>
      <c r="AY188" s="194"/>
      <c r="AZ188" s="194"/>
      <c r="BA188" s="194"/>
      <c r="BB188" s="194"/>
      <c r="BC188" s="194"/>
      <c r="BD188" s="194"/>
      <c r="BE188" s="194"/>
      <c r="BF188" s="194"/>
      <c r="BG188" s="194"/>
      <c r="BH188" s="194"/>
      <c r="BI188" s="194"/>
      <c r="BJ188" s="194"/>
      <c r="BK188" s="194"/>
      <c r="BL188" s="194"/>
      <c r="BM188" s="194"/>
      <c r="BN188" s="194"/>
      <c r="BO188" s="194"/>
      <c r="BP188" s="194"/>
      <c r="BQ188" s="47"/>
      <c r="BR188" s="194"/>
      <c r="BS188" s="47"/>
      <c r="BT188" s="47"/>
      <c r="BU188" s="47"/>
      <c r="BV188" s="47"/>
      <c r="BW188" s="47"/>
      <c r="BX188" s="194">
        <v>7</v>
      </c>
      <c r="BY188" s="194"/>
      <c r="BZ188" s="194"/>
      <c r="CA188" s="194"/>
      <c r="CB188" s="194"/>
      <c r="CC188" s="47"/>
      <c r="CD188" s="47"/>
      <c r="CE188" s="47"/>
      <c r="CF188" s="47"/>
      <c r="CG188" s="47"/>
      <c r="CH188" s="47"/>
      <c r="CI188" s="47"/>
      <c r="CJ188" s="47"/>
      <c r="CK188" s="224"/>
      <c r="CL188" s="198">
        <v>7.5</v>
      </c>
      <c r="CM188" s="47"/>
      <c r="CN188" s="47"/>
      <c r="CO188" s="47"/>
      <c r="CP188" s="47"/>
      <c r="CQ188" s="47"/>
      <c r="CR188" s="47"/>
      <c r="CS188" s="198"/>
      <c r="CT188" s="47"/>
      <c r="CU188" s="47"/>
      <c r="CV188" s="47"/>
      <c r="CW188" s="47"/>
      <c r="CX188" s="194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198"/>
      <c r="DX188" s="47"/>
      <c r="DY188" s="194"/>
      <c r="DZ188" s="47"/>
      <c r="EA188" s="47"/>
      <c r="EB188" s="194"/>
      <c r="EC188" s="47"/>
      <c r="ED188" s="195"/>
      <c r="EE188" s="195"/>
      <c r="EF188" s="195"/>
      <c r="EG188" s="195"/>
      <c r="EH188" s="195">
        <v>4</v>
      </c>
      <c r="EI188" s="196">
        <f t="shared" si="8"/>
        <v>24.261120000000005</v>
      </c>
      <c r="EJ188" s="201">
        <f t="shared" si="9"/>
        <v>7.702905600000002</v>
      </c>
      <c r="EK188" s="202">
        <f t="shared" si="10"/>
        <v>7.1333333333333329</v>
      </c>
      <c r="FA188" s="251">
        <f t="shared" si="11"/>
        <v>6.0652800000000013</v>
      </c>
    </row>
    <row r="189" spans="1:157" s="1" customFormat="1" ht="20.149999999999999" customHeight="1" x14ac:dyDescent="0.35">
      <c r="A189" s="2"/>
      <c r="B189" s="189" t="s">
        <v>945</v>
      </c>
      <c r="C189" s="47" t="s">
        <v>1448</v>
      </c>
      <c r="D189" s="2" t="s">
        <v>770</v>
      </c>
      <c r="E189" s="2" t="s">
        <v>697</v>
      </c>
      <c r="F189" s="48" t="s">
        <v>65</v>
      </c>
      <c r="G189" s="48"/>
      <c r="H189" s="328">
        <f>H186/30*1.08</f>
        <v>3.0326400000000007</v>
      </c>
      <c r="I189" s="47"/>
      <c r="J189" s="47"/>
      <c r="K189" s="47"/>
      <c r="L189" s="47"/>
      <c r="M189" s="47"/>
      <c r="N189" s="194"/>
      <c r="O189" s="194"/>
      <c r="P189" s="194"/>
      <c r="Q189" s="194"/>
      <c r="R189" s="47"/>
      <c r="S189" s="194"/>
      <c r="T189" s="47"/>
      <c r="U189" s="194"/>
      <c r="V189" s="47"/>
      <c r="W189" s="194"/>
      <c r="X189" s="47"/>
      <c r="Y189" s="194"/>
      <c r="Z189" s="194"/>
      <c r="AA189" s="47"/>
      <c r="AB189" s="47"/>
      <c r="AC189" s="47"/>
      <c r="AD189" s="47"/>
      <c r="AE189" s="194"/>
      <c r="AF189" s="194"/>
      <c r="AG189" s="194"/>
      <c r="AI189" s="47"/>
      <c r="AJ189" s="223"/>
      <c r="AK189" s="47"/>
      <c r="AL189" s="47"/>
      <c r="AM189" s="47"/>
      <c r="AN189" s="47"/>
      <c r="AO189" s="47"/>
      <c r="AP189" s="194"/>
      <c r="AQ189" s="47"/>
      <c r="AR189" s="47"/>
      <c r="AS189" s="47"/>
      <c r="AT189" s="194"/>
      <c r="AU189" s="194"/>
      <c r="AV189" s="194"/>
      <c r="AW189" s="194"/>
      <c r="AX189" s="194"/>
      <c r="AY189" s="194"/>
      <c r="AZ189" s="194"/>
      <c r="BA189" s="194"/>
      <c r="BB189" s="194"/>
      <c r="BC189" s="194"/>
      <c r="BD189" s="194"/>
      <c r="BE189" s="194"/>
      <c r="BF189" s="194"/>
      <c r="BG189" s="194"/>
      <c r="BH189" s="194"/>
      <c r="BI189" s="194"/>
      <c r="BJ189" s="194"/>
      <c r="BK189" s="194"/>
      <c r="BL189" s="194"/>
      <c r="BM189" s="194"/>
      <c r="BN189" s="194"/>
      <c r="BO189" s="194"/>
      <c r="BP189" s="194"/>
      <c r="BQ189" s="47"/>
      <c r="BR189" s="194"/>
      <c r="BS189" s="47"/>
      <c r="BT189" s="47"/>
      <c r="BU189" s="47"/>
      <c r="BV189" s="47"/>
      <c r="BW189" s="47"/>
      <c r="BX189" s="194"/>
      <c r="BY189" s="194"/>
      <c r="BZ189" s="194"/>
      <c r="CA189" s="194"/>
      <c r="CB189" s="194"/>
      <c r="CC189" s="47"/>
      <c r="CD189" s="47"/>
      <c r="CE189" s="47"/>
      <c r="CF189" s="47"/>
      <c r="CG189" s="47"/>
      <c r="CH189" s="47"/>
      <c r="CI189" s="47"/>
      <c r="CJ189" s="47"/>
      <c r="CK189" s="224"/>
      <c r="CL189" s="194">
        <v>3.8</v>
      </c>
      <c r="CM189" s="47"/>
      <c r="CN189" s="47"/>
      <c r="CO189" s="47"/>
      <c r="CP189" s="47"/>
      <c r="CQ189" s="47"/>
      <c r="CR189" s="47"/>
      <c r="CS189" s="198"/>
      <c r="CT189" s="47"/>
      <c r="CU189" s="47"/>
      <c r="CV189" s="47"/>
      <c r="CW189" s="47"/>
      <c r="CX189" s="194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198"/>
      <c r="DX189" s="47"/>
      <c r="DY189" s="194"/>
      <c r="DZ189" s="47"/>
      <c r="EA189" s="47"/>
      <c r="EB189" s="194"/>
      <c r="EC189" s="47"/>
      <c r="ED189" s="195"/>
      <c r="EE189" s="195"/>
      <c r="EF189" s="195"/>
      <c r="EG189" s="195"/>
      <c r="EH189" s="195"/>
      <c r="EI189" s="196">
        <f t="shared" si="8"/>
        <v>0</v>
      </c>
      <c r="EJ189" s="201">
        <f t="shared" si="9"/>
        <v>3.851452800000001</v>
      </c>
      <c r="EK189" s="202">
        <f t="shared" si="10"/>
        <v>3.8</v>
      </c>
      <c r="FA189" s="251">
        <f t="shared" si="11"/>
        <v>3.0326400000000007</v>
      </c>
    </row>
    <row r="190" spans="1:157" s="1" customFormat="1" ht="20.149999999999999" customHeight="1" x14ac:dyDescent="0.35">
      <c r="A190" s="2"/>
      <c r="B190" s="189" t="s">
        <v>946</v>
      </c>
      <c r="C190" s="47" t="s">
        <v>1448</v>
      </c>
      <c r="D190" s="2" t="s">
        <v>770</v>
      </c>
      <c r="E190" s="2" t="s">
        <v>697</v>
      </c>
      <c r="F190" s="48" t="s">
        <v>1000</v>
      </c>
      <c r="G190" s="48" t="s">
        <v>37</v>
      </c>
      <c r="H190" s="328">
        <f>H186/30/2</f>
        <v>1.4040000000000001</v>
      </c>
      <c r="I190" s="47"/>
      <c r="J190" s="47"/>
      <c r="K190" s="47"/>
      <c r="L190" s="47"/>
      <c r="M190" s="47"/>
      <c r="N190" s="194"/>
      <c r="O190" s="194"/>
      <c r="P190" s="194"/>
      <c r="Q190" s="194"/>
      <c r="R190" s="47"/>
      <c r="S190" s="194"/>
      <c r="T190" s="47"/>
      <c r="U190" s="194"/>
      <c r="V190" s="47"/>
      <c r="W190" s="194"/>
      <c r="X190" s="47"/>
      <c r="Y190" s="194"/>
      <c r="Z190" s="194"/>
      <c r="AA190" s="47"/>
      <c r="AB190" s="47"/>
      <c r="AC190" s="47"/>
      <c r="AD190" s="47"/>
      <c r="AE190" s="194"/>
      <c r="AF190" s="194"/>
      <c r="AG190" s="194"/>
      <c r="AI190" s="47"/>
      <c r="AJ190" s="223"/>
      <c r="AK190" s="47"/>
      <c r="AL190" s="47"/>
      <c r="AM190" s="47"/>
      <c r="AN190" s="47"/>
      <c r="AO190" s="47"/>
      <c r="AP190" s="194"/>
      <c r="AQ190" s="47"/>
      <c r="AR190" s="47"/>
      <c r="AS190" s="47"/>
      <c r="AT190" s="194"/>
      <c r="AU190" s="194"/>
      <c r="AV190" s="194"/>
      <c r="AW190" s="194"/>
      <c r="AX190" s="194"/>
      <c r="AY190" s="194"/>
      <c r="AZ190" s="194"/>
      <c r="BA190" s="194"/>
      <c r="BB190" s="194"/>
      <c r="BC190" s="194"/>
      <c r="BD190" s="194"/>
      <c r="BE190" s="194"/>
      <c r="BF190" s="194"/>
      <c r="BG190" s="194"/>
      <c r="BH190" s="194"/>
      <c r="BI190" s="194"/>
      <c r="BJ190" s="194"/>
      <c r="BK190" s="194"/>
      <c r="BL190" s="194"/>
      <c r="BM190" s="194"/>
      <c r="BN190" s="194"/>
      <c r="BO190" s="194"/>
      <c r="BP190" s="194"/>
      <c r="BQ190" s="47"/>
      <c r="BR190" s="194"/>
      <c r="BS190" s="47"/>
      <c r="BT190" s="47"/>
      <c r="BU190" s="47"/>
      <c r="BV190" s="47"/>
      <c r="BW190" s="47"/>
      <c r="BX190" s="194"/>
      <c r="BY190" s="194"/>
      <c r="BZ190" s="194"/>
      <c r="CA190" s="194"/>
      <c r="CB190" s="194"/>
      <c r="CC190" s="47"/>
      <c r="CD190" s="47"/>
      <c r="CE190" s="47"/>
      <c r="CF190" s="47"/>
      <c r="CG190" s="47"/>
      <c r="CH190" s="47"/>
      <c r="CI190" s="47"/>
      <c r="CJ190" s="47"/>
      <c r="CK190" s="224"/>
      <c r="CL190" s="194">
        <v>2</v>
      </c>
      <c r="CM190" s="47"/>
      <c r="CN190" s="47"/>
      <c r="CO190" s="47"/>
      <c r="CP190" s="47"/>
      <c r="CQ190" s="47"/>
      <c r="CR190" s="47"/>
      <c r="CS190" s="198"/>
      <c r="CT190" s="47"/>
      <c r="CU190" s="47"/>
      <c r="CV190" s="47"/>
      <c r="CW190" s="47"/>
      <c r="CX190" s="194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>
        <v>3</v>
      </c>
      <c r="DV190" s="47"/>
      <c r="DW190" s="198">
        <v>3</v>
      </c>
      <c r="DX190" s="47"/>
      <c r="DY190" s="194"/>
      <c r="DZ190" s="47"/>
      <c r="EA190" s="47"/>
      <c r="EB190" s="194"/>
      <c r="EC190" s="47"/>
      <c r="ED190" s="195"/>
      <c r="EE190" s="195"/>
      <c r="EF190" s="195"/>
      <c r="EG190" s="195"/>
      <c r="EH190" s="195"/>
      <c r="EI190" s="196">
        <f t="shared" si="8"/>
        <v>0</v>
      </c>
      <c r="EJ190" s="201">
        <f t="shared" si="9"/>
        <v>1.7830800000000002</v>
      </c>
      <c r="EK190" s="202">
        <f t="shared" si="10"/>
        <v>2.6666666666666665</v>
      </c>
      <c r="FA190" s="251">
        <f t="shared" si="11"/>
        <v>1.4040000000000001</v>
      </c>
    </row>
    <row r="191" spans="1:157" s="1" customFormat="1" ht="20.149999999999999" customHeight="1" x14ac:dyDescent="0.35">
      <c r="A191" s="47"/>
      <c r="B191" s="189" t="s">
        <v>947</v>
      </c>
      <c r="C191" s="47" t="s">
        <v>1448</v>
      </c>
      <c r="D191" s="2" t="s">
        <v>770</v>
      </c>
      <c r="E191" s="2" t="s">
        <v>697</v>
      </c>
      <c r="F191" s="48"/>
      <c r="G191" s="48"/>
      <c r="H191" s="328"/>
      <c r="I191" s="47"/>
      <c r="J191" s="47"/>
      <c r="K191" s="47"/>
      <c r="L191" s="47"/>
      <c r="M191" s="47"/>
      <c r="N191" s="194"/>
      <c r="O191" s="194"/>
      <c r="P191" s="194"/>
      <c r="Q191" s="194"/>
      <c r="R191" s="47"/>
      <c r="S191" s="194"/>
      <c r="T191" s="47"/>
      <c r="U191" s="194"/>
      <c r="V191" s="47"/>
      <c r="W191" s="194"/>
      <c r="X191" s="47"/>
      <c r="Y191" s="194"/>
      <c r="Z191" s="194"/>
      <c r="AA191" s="47"/>
      <c r="AB191" s="47"/>
      <c r="AC191" s="47"/>
      <c r="AD191" s="47"/>
      <c r="AE191" s="194"/>
      <c r="AF191" s="194"/>
      <c r="AG191" s="194"/>
      <c r="AI191" s="47"/>
      <c r="AJ191" s="223"/>
      <c r="AK191" s="47"/>
      <c r="AL191" s="47"/>
      <c r="AM191" s="47"/>
      <c r="AN191" s="47"/>
      <c r="AO191" s="47"/>
      <c r="AP191" s="194"/>
      <c r="AQ191" s="47"/>
      <c r="AR191" s="47"/>
      <c r="AS191" s="47"/>
      <c r="AT191" s="194"/>
      <c r="AU191" s="194"/>
      <c r="AV191" s="194"/>
      <c r="AW191" s="194"/>
      <c r="AX191" s="194"/>
      <c r="AY191" s="194"/>
      <c r="AZ191" s="194"/>
      <c r="BA191" s="194"/>
      <c r="BB191" s="194"/>
      <c r="BC191" s="194"/>
      <c r="BD191" s="194"/>
      <c r="BE191" s="194"/>
      <c r="BF191" s="194"/>
      <c r="BG191" s="194"/>
      <c r="BH191" s="194"/>
      <c r="BI191" s="194"/>
      <c r="BJ191" s="194"/>
      <c r="BK191" s="194"/>
      <c r="BL191" s="194"/>
      <c r="BM191" s="194"/>
      <c r="BN191" s="194"/>
      <c r="BO191" s="194"/>
      <c r="BP191" s="194"/>
      <c r="BQ191" s="47"/>
      <c r="BR191" s="194"/>
      <c r="BS191" s="47"/>
      <c r="BT191" s="47"/>
      <c r="BU191" s="47"/>
      <c r="BV191" s="47"/>
      <c r="BW191" s="47"/>
      <c r="BX191" s="194"/>
      <c r="BY191" s="194"/>
      <c r="BZ191" s="194"/>
      <c r="CA191" s="194"/>
      <c r="CB191" s="194"/>
      <c r="CC191" s="47"/>
      <c r="CD191" s="47"/>
      <c r="CE191" s="47"/>
      <c r="CF191" s="47"/>
      <c r="CG191" s="47"/>
      <c r="CH191" s="47"/>
      <c r="CI191" s="47"/>
      <c r="CJ191" s="47"/>
      <c r="CK191" s="224"/>
      <c r="CL191" s="194"/>
      <c r="CM191" s="22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194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198">
        <v>1.5</v>
      </c>
      <c r="DX191" s="47"/>
      <c r="DY191" s="194"/>
      <c r="DZ191" s="47"/>
      <c r="EA191" s="47"/>
      <c r="EB191" s="194"/>
      <c r="EC191" s="47"/>
      <c r="ED191" s="195"/>
      <c r="EE191" s="195"/>
      <c r="EF191" s="195"/>
      <c r="EG191" s="195"/>
      <c r="EH191" s="195"/>
      <c r="EI191" s="196">
        <f t="shared" si="8"/>
        <v>0</v>
      </c>
      <c r="EJ191" s="201">
        <f t="shared" si="9"/>
        <v>0</v>
      </c>
      <c r="EK191" s="202">
        <f t="shared" si="10"/>
        <v>1.5</v>
      </c>
      <c r="FA191" s="251">
        <f t="shared" si="11"/>
        <v>0</v>
      </c>
    </row>
    <row r="192" spans="1:157" s="1" customFormat="1" ht="20.149999999999999" customHeight="1" x14ac:dyDescent="0.35">
      <c r="A192" s="47"/>
      <c r="B192" s="189" t="s">
        <v>948</v>
      </c>
      <c r="C192" s="47" t="s">
        <v>179</v>
      </c>
      <c r="D192" s="2"/>
      <c r="E192" s="2" t="s">
        <v>47</v>
      </c>
      <c r="F192" s="48" t="s">
        <v>78</v>
      </c>
      <c r="G192" s="48" t="s">
        <v>37</v>
      </c>
      <c r="H192" s="328">
        <f>60*1.08</f>
        <v>64.800000000000011</v>
      </c>
      <c r="I192" s="47"/>
      <c r="J192" s="47"/>
      <c r="K192" s="47"/>
      <c r="L192" s="47"/>
      <c r="M192" s="47"/>
      <c r="N192" s="194"/>
      <c r="O192" s="194"/>
      <c r="P192" s="194"/>
      <c r="Q192" s="194"/>
      <c r="R192" s="47"/>
      <c r="S192" s="194"/>
      <c r="T192" s="47"/>
      <c r="U192" s="194"/>
      <c r="V192" s="47"/>
      <c r="W192" s="194"/>
      <c r="X192" s="47"/>
      <c r="Y192" s="194"/>
      <c r="Z192" s="194"/>
      <c r="AA192" s="47"/>
      <c r="AB192" s="47"/>
      <c r="AC192" s="47"/>
      <c r="AD192" s="47"/>
      <c r="AE192" s="194"/>
      <c r="AF192" s="194"/>
      <c r="AG192" s="194"/>
      <c r="AI192" s="47"/>
      <c r="AJ192" s="223"/>
      <c r="AK192" s="47"/>
      <c r="AL192" s="47"/>
      <c r="AM192" s="47"/>
      <c r="AN192" s="47"/>
      <c r="AO192" s="47"/>
      <c r="AP192" s="194"/>
      <c r="AQ192" s="47"/>
      <c r="AR192" s="47"/>
      <c r="AS192" s="47"/>
      <c r="AT192" s="194"/>
      <c r="AU192" s="194"/>
      <c r="AV192" s="194"/>
      <c r="AW192" s="194"/>
      <c r="AX192" s="194"/>
      <c r="AY192" s="194"/>
      <c r="AZ192" s="194"/>
      <c r="BA192" s="194"/>
      <c r="BB192" s="194"/>
      <c r="BC192" s="194"/>
      <c r="BD192" s="194"/>
      <c r="BE192" s="194"/>
      <c r="BF192" s="194"/>
      <c r="BG192" s="194"/>
      <c r="BH192" s="194"/>
      <c r="BI192" s="194"/>
      <c r="BJ192" s="194"/>
      <c r="BK192" s="194"/>
      <c r="BL192" s="194"/>
      <c r="BM192" s="194"/>
      <c r="BN192" s="194"/>
      <c r="BO192" s="194"/>
      <c r="BP192" s="194"/>
      <c r="BQ192" s="47"/>
      <c r="BR192" s="194"/>
      <c r="BS192" s="47"/>
      <c r="BT192" s="47"/>
      <c r="BU192" s="47"/>
      <c r="BV192" s="47"/>
      <c r="BW192" s="47"/>
      <c r="BX192" s="194"/>
      <c r="BY192" s="194"/>
      <c r="BZ192" s="194"/>
      <c r="CA192" s="194"/>
      <c r="CB192" s="194"/>
      <c r="CC192" s="47"/>
      <c r="CD192" s="47"/>
      <c r="CE192" s="47"/>
      <c r="CF192" s="47"/>
      <c r="CG192" s="47"/>
      <c r="CH192" s="47"/>
      <c r="CI192" s="47"/>
      <c r="CJ192" s="47"/>
      <c r="CK192" s="224"/>
      <c r="CL192" s="194"/>
      <c r="CM192" s="47"/>
      <c r="CN192" s="47"/>
      <c r="CO192" s="47"/>
      <c r="CP192" s="47">
        <v>76</v>
      </c>
      <c r="CQ192" s="47"/>
      <c r="CR192" s="47"/>
      <c r="CS192" s="47"/>
      <c r="CT192" s="47"/>
      <c r="CU192" s="47"/>
      <c r="CV192" s="47"/>
      <c r="CW192" s="47"/>
      <c r="CX192" s="194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198"/>
      <c r="DX192" s="47"/>
      <c r="DY192" s="194"/>
      <c r="DZ192" s="47"/>
      <c r="EA192" s="47"/>
      <c r="EB192" s="194"/>
      <c r="EC192" s="47"/>
      <c r="ED192" s="195"/>
      <c r="EE192" s="195"/>
      <c r="EF192" s="195"/>
      <c r="EG192" s="195"/>
      <c r="EH192" s="195">
        <v>15</v>
      </c>
      <c r="EI192" s="196">
        <f t="shared" si="8"/>
        <v>972.00000000000023</v>
      </c>
      <c r="EJ192" s="201">
        <f t="shared" si="9"/>
        <v>82.296000000000021</v>
      </c>
      <c r="EK192" s="202">
        <f t="shared" si="10"/>
        <v>76</v>
      </c>
      <c r="FA192" s="251">
        <f t="shared" si="11"/>
        <v>64.800000000000011</v>
      </c>
    </row>
    <row r="193" spans="1:157" s="1" customFormat="1" ht="20.149999999999999" customHeight="1" x14ac:dyDescent="0.35">
      <c r="A193" s="2"/>
      <c r="B193" s="189" t="s">
        <v>949</v>
      </c>
      <c r="C193" s="47" t="s">
        <v>179</v>
      </c>
      <c r="D193" s="2" t="s">
        <v>299</v>
      </c>
      <c r="E193" s="2" t="s">
        <v>33</v>
      </c>
      <c r="F193" s="48" t="s">
        <v>48</v>
      </c>
      <c r="G193" s="48" t="s">
        <v>37</v>
      </c>
      <c r="H193" s="328">
        <f>H192/25*5</f>
        <v>12.960000000000003</v>
      </c>
      <c r="I193" s="47"/>
      <c r="J193" s="47"/>
      <c r="K193" s="47"/>
      <c r="L193" s="47"/>
      <c r="M193" s="47"/>
      <c r="N193" s="194"/>
      <c r="O193" s="194"/>
      <c r="P193" s="194"/>
      <c r="Q193" s="194"/>
      <c r="R193" s="47"/>
      <c r="S193" s="194"/>
      <c r="T193" s="47"/>
      <c r="U193" s="194"/>
      <c r="V193" s="47"/>
      <c r="W193" s="194"/>
      <c r="X193" s="47">
        <v>18</v>
      </c>
      <c r="Y193" s="194"/>
      <c r="Z193" s="194"/>
      <c r="AA193" s="47"/>
      <c r="AB193" s="47">
        <v>18</v>
      </c>
      <c r="AC193" s="47"/>
      <c r="AD193" s="47"/>
      <c r="AE193" s="194"/>
      <c r="AF193" s="194"/>
      <c r="AG193" s="194"/>
      <c r="AI193" s="47"/>
      <c r="AJ193" s="223"/>
      <c r="AK193" s="47"/>
      <c r="AL193" s="47">
        <v>18</v>
      </c>
      <c r="AM193" s="47"/>
      <c r="AN193" s="47"/>
      <c r="AO193" s="47"/>
      <c r="AP193" s="194">
        <v>19</v>
      </c>
      <c r="AQ193" s="47">
        <v>18</v>
      </c>
      <c r="AR193" s="47"/>
      <c r="AS193" s="47"/>
      <c r="AT193" s="194">
        <v>18</v>
      </c>
      <c r="AU193" s="194"/>
      <c r="AV193" s="194"/>
      <c r="AW193" s="194"/>
      <c r="AX193" s="194"/>
      <c r="AY193" s="194">
        <v>18</v>
      </c>
      <c r="AZ193" s="194">
        <v>18</v>
      </c>
      <c r="BA193" s="194"/>
      <c r="BB193" s="194"/>
      <c r="BC193" s="194"/>
      <c r="BD193" s="194"/>
      <c r="BE193" s="194"/>
      <c r="BF193" s="194"/>
      <c r="BG193" s="194"/>
      <c r="BH193" s="194"/>
      <c r="BI193" s="194"/>
      <c r="BJ193" s="194"/>
      <c r="BK193" s="194"/>
      <c r="BL193" s="194"/>
      <c r="BM193" s="194">
        <v>18</v>
      </c>
      <c r="BN193" s="194"/>
      <c r="BO193" s="194"/>
      <c r="BP193" s="194"/>
      <c r="BQ193" s="47"/>
      <c r="BR193" s="194"/>
      <c r="BS193" s="47">
        <v>18</v>
      </c>
      <c r="BT193" s="47">
        <v>18</v>
      </c>
      <c r="BU193" s="47"/>
      <c r="BV193" s="47">
        <v>18</v>
      </c>
      <c r="BW193" s="47"/>
      <c r="BX193" s="194"/>
      <c r="BY193" s="194"/>
      <c r="BZ193" s="194">
        <f>54/3</f>
        <v>18</v>
      </c>
      <c r="CA193" s="194"/>
      <c r="CB193" s="194">
        <v>18</v>
      </c>
      <c r="CC193" s="47"/>
      <c r="CD193" s="47"/>
      <c r="CE193" s="47"/>
      <c r="CF193" s="47"/>
      <c r="CG193" s="47">
        <v>18</v>
      </c>
      <c r="CH193" s="47"/>
      <c r="CI193" s="47"/>
      <c r="CJ193" s="47"/>
      <c r="CK193" s="224"/>
      <c r="CL193" s="194"/>
      <c r="CM193" s="47"/>
      <c r="CN193" s="47"/>
      <c r="CO193" s="47">
        <v>18</v>
      </c>
      <c r="CP193" s="47"/>
      <c r="CQ193" s="47">
        <v>18</v>
      </c>
      <c r="CR193" s="47"/>
      <c r="CS193" s="198">
        <v>18</v>
      </c>
      <c r="CT193" s="47"/>
      <c r="CU193" s="47"/>
      <c r="CV193" s="47">
        <v>18</v>
      </c>
      <c r="CW193" s="47"/>
      <c r="CX193" s="194">
        <v>18</v>
      </c>
      <c r="CY193" s="47"/>
      <c r="CZ193" s="47">
        <v>18</v>
      </c>
      <c r="DA193" s="47"/>
      <c r="DB193" s="47"/>
      <c r="DC193" s="47"/>
      <c r="DD193" s="47"/>
      <c r="DE193" s="47"/>
      <c r="DF193" s="47"/>
      <c r="DG193" s="47"/>
      <c r="DH193" s="47"/>
      <c r="DI193" s="47"/>
      <c r="DJ193" s="47">
        <v>18</v>
      </c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>
        <v>18</v>
      </c>
      <c r="DW193" s="198"/>
      <c r="DX193" s="47"/>
      <c r="DY193" s="194"/>
      <c r="DZ193" s="47"/>
      <c r="EA193" s="47"/>
      <c r="EB193" s="194"/>
      <c r="EC193" s="47"/>
      <c r="ED193" s="195"/>
      <c r="EE193" s="195"/>
      <c r="EF193" s="195"/>
      <c r="EG193" s="195">
        <v>18</v>
      </c>
      <c r="EH193" s="195">
        <v>20</v>
      </c>
      <c r="EI193" s="196">
        <f t="shared" si="8"/>
        <v>259.20000000000005</v>
      </c>
      <c r="EJ193" s="201">
        <f t="shared" si="9"/>
        <v>16.459200000000003</v>
      </c>
      <c r="EK193" s="202">
        <f t="shared" si="10"/>
        <v>18.043478260869566</v>
      </c>
      <c r="FA193" s="251">
        <f t="shared" si="11"/>
        <v>12.960000000000003</v>
      </c>
    </row>
    <row r="194" spans="1:157" s="1" customFormat="1" ht="20.149999999999999" customHeight="1" x14ac:dyDescent="0.35">
      <c r="A194" s="2"/>
      <c r="B194" s="189" t="s">
        <v>950</v>
      </c>
      <c r="C194" s="47" t="s">
        <v>179</v>
      </c>
      <c r="D194" s="2" t="s">
        <v>299</v>
      </c>
      <c r="E194" s="2" t="s">
        <v>33</v>
      </c>
      <c r="F194" s="48" t="s">
        <v>65</v>
      </c>
      <c r="G194" s="48" t="s">
        <v>570</v>
      </c>
      <c r="H194" s="328">
        <f>H192/25*1</f>
        <v>2.5920000000000005</v>
      </c>
      <c r="I194" s="47"/>
      <c r="J194" s="47"/>
      <c r="K194" s="47"/>
      <c r="L194" s="47"/>
      <c r="M194" s="47"/>
      <c r="N194" s="194"/>
      <c r="O194" s="194"/>
      <c r="P194" s="194"/>
      <c r="Q194" s="194"/>
      <c r="R194" s="47"/>
      <c r="S194" s="194">
        <v>3.8</v>
      </c>
      <c r="T194" s="47"/>
      <c r="U194" s="194"/>
      <c r="V194" s="47"/>
      <c r="W194" s="194"/>
      <c r="X194" s="47"/>
      <c r="Y194" s="194"/>
      <c r="Z194" s="194"/>
      <c r="AA194" s="47"/>
      <c r="AB194" s="47"/>
      <c r="AC194" s="47"/>
      <c r="AD194" s="47"/>
      <c r="AE194" s="194"/>
      <c r="AF194" s="194"/>
      <c r="AG194" s="194"/>
      <c r="AI194" s="47"/>
      <c r="AJ194" s="223"/>
      <c r="AK194" s="47"/>
      <c r="AL194" s="47"/>
      <c r="AM194" s="47"/>
      <c r="AN194" s="47"/>
      <c r="AO194" s="47"/>
      <c r="AP194" s="194"/>
      <c r="AQ194" s="47"/>
      <c r="AR194" s="47">
        <v>3.8</v>
      </c>
      <c r="AS194" s="47"/>
      <c r="AT194" s="194"/>
      <c r="AU194" s="194"/>
      <c r="AV194" s="194"/>
      <c r="AW194" s="194"/>
      <c r="AX194" s="194"/>
      <c r="AY194" s="194"/>
      <c r="AZ194" s="194"/>
      <c r="BA194" s="194"/>
      <c r="BB194" s="194"/>
      <c r="BC194" s="194"/>
      <c r="BD194" s="194"/>
      <c r="BE194" s="194"/>
      <c r="BF194" s="194"/>
      <c r="BG194" s="194"/>
      <c r="BH194" s="194"/>
      <c r="BI194" s="194"/>
      <c r="BJ194" s="194"/>
      <c r="BK194" s="194"/>
      <c r="BL194" s="194"/>
      <c r="BM194" s="194"/>
      <c r="BN194" s="194"/>
      <c r="BO194" s="194"/>
      <c r="BP194" s="194"/>
      <c r="BQ194" s="47"/>
      <c r="BR194" s="194"/>
      <c r="BS194" s="47"/>
      <c r="BT194" s="47"/>
      <c r="BU194" s="47"/>
      <c r="BV194" s="47"/>
      <c r="BW194" s="47"/>
      <c r="BX194" s="194">
        <v>3.8</v>
      </c>
      <c r="BY194" s="194"/>
      <c r="BZ194" s="194"/>
      <c r="CA194" s="194"/>
      <c r="CB194" s="194"/>
      <c r="CC194" s="47"/>
      <c r="CD194" s="47"/>
      <c r="CE194" s="47"/>
      <c r="CF194" s="47"/>
      <c r="CG194" s="47"/>
      <c r="CH194" s="47"/>
      <c r="CI194" s="47"/>
      <c r="CJ194" s="47"/>
      <c r="CK194" s="224"/>
      <c r="CL194" s="194"/>
      <c r="CM194" s="47"/>
      <c r="CN194" s="47"/>
      <c r="CO194" s="47"/>
      <c r="CP194" s="47"/>
      <c r="CQ194" s="47"/>
      <c r="CR194" s="47"/>
      <c r="CS194" s="198"/>
      <c r="CT194" s="47"/>
      <c r="CU194" s="47"/>
      <c r="CV194" s="47"/>
      <c r="CW194" s="47"/>
      <c r="CX194" s="194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>
        <v>3</v>
      </c>
      <c r="DV194" s="47"/>
      <c r="DW194" s="198">
        <v>3.3</v>
      </c>
      <c r="DX194" s="47"/>
      <c r="DY194" s="194"/>
      <c r="DZ194" s="47"/>
      <c r="EA194" s="47"/>
      <c r="EB194" s="194"/>
      <c r="EC194" s="47"/>
      <c r="ED194" s="195"/>
      <c r="EE194" s="195"/>
      <c r="EF194" s="195"/>
      <c r="EG194" s="195"/>
      <c r="EH194" s="195">
        <v>6</v>
      </c>
      <c r="EI194" s="196">
        <f t="shared" si="8"/>
        <v>15.552000000000003</v>
      </c>
      <c r="EJ194" s="201">
        <f t="shared" si="9"/>
        <v>3.2918400000000005</v>
      </c>
      <c r="EK194" s="202">
        <v>3.5</v>
      </c>
      <c r="FA194" s="251">
        <f t="shared" si="11"/>
        <v>2.5920000000000005</v>
      </c>
    </row>
    <row r="195" spans="1:157" s="1" customFormat="1" ht="20.149999999999999" customHeight="1" x14ac:dyDescent="0.35">
      <c r="A195" s="2"/>
      <c r="B195" s="189" t="s">
        <v>951</v>
      </c>
      <c r="C195" s="47" t="s">
        <v>179</v>
      </c>
      <c r="D195" s="2" t="s">
        <v>299</v>
      </c>
      <c r="E195" s="2" t="s">
        <v>33</v>
      </c>
      <c r="F195" s="48" t="s">
        <v>1231</v>
      </c>
      <c r="G195" s="48" t="s">
        <v>37</v>
      </c>
      <c r="H195" s="328">
        <f>H194/1000*750</f>
        <v>1.9440000000000004</v>
      </c>
      <c r="I195" s="47"/>
      <c r="J195" s="47"/>
      <c r="K195" s="47"/>
      <c r="L195" s="47"/>
      <c r="M195" s="47"/>
      <c r="N195" s="194"/>
      <c r="O195" s="194"/>
      <c r="P195" s="194"/>
      <c r="Q195" s="194"/>
      <c r="R195" s="47"/>
      <c r="S195" s="194"/>
      <c r="T195" s="47"/>
      <c r="U195" s="194"/>
      <c r="V195" s="47"/>
      <c r="W195" s="194"/>
      <c r="X195" s="47"/>
      <c r="Y195" s="194"/>
      <c r="Z195" s="194"/>
      <c r="AA195" s="47"/>
      <c r="AB195" s="47"/>
      <c r="AC195" s="47"/>
      <c r="AD195" s="47"/>
      <c r="AE195" s="194"/>
      <c r="AF195" s="194"/>
      <c r="AG195" s="194"/>
      <c r="AI195" s="47"/>
      <c r="AJ195" s="223"/>
      <c r="AK195" s="47"/>
      <c r="AL195" s="47"/>
      <c r="AM195" s="47"/>
      <c r="AN195" s="47"/>
      <c r="AO195" s="47"/>
      <c r="AP195" s="194"/>
      <c r="AQ195" s="47"/>
      <c r="AR195" s="47"/>
      <c r="AS195" s="47"/>
      <c r="AT195" s="194"/>
      <c r="AU195" s="194"/>
      <c r="AV195" s="194"/>
      <c r="AW195" s="194"/>
      <c r="AX195" s="194"/>
      <c r="AY195" s="194"/>
      <c r="AZ195" s="194"/>
      <c r="BA195" s="194"/>
      <c r="BB195" s="194"/>
      <c r="BC195" s="194"/>
      <c r="BD195" s="194"/>
      <c r="BE195" s="194"/>
      <c r="BF195" s="194"/>
      <c r="BG195" s="194"/>
      <c r="BH195" s="194"/>
      <c r="BI195" s="194"/>
      <c r="BJ195" s="194"/>
      <c r="BK195" s="194"/>
      <c r="BL195" s="194"/>
      <c r="BM195" s="194"/>
      <c r="BN195" s="194"/>
      <c r="BO195" s="194"/>
      <c r="BP195" s="194"/>
      <c r="BQ195" s="47"/>
      <c r="BR195" s="194"/>
      <c r="BS195" s="47"/>
      <c r="BT195" s="47"/>
      <c r="BU195" s="47"/>
      <c r="BV195" s="47"/>
      <c r="BW195" s="47"/>
      <c r="BX195" s="194"/>
      <c r="BY195" s="194"/>
      <c r="BZ195" s="194"/>
      <c r="CA195" s="194"/>
      <c r="CB195" s="194"/>
      <c r="CC195" s="47"/>
      <c r="CD195" s="47"/>
      <c r="CE195" s="47"/>
      <c r="CF195" s="47"/>
      <c r="CG195" s="47"/>
      <c r="CH195" s="47"/>
      <c r="CI195" s="47"/>
      <c r="CJ195" s="47"/>
      <c r="CK195" s="224"/>
      <c r="CL195" s="194">
        <v>3.9</v>
      </c>
      <c r="CM195" s="22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194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198">
        <f>DW194/2</f>
        <v>1.65</v>
      </c>
      <c r="DX195" s="47"/>
      <c r="DY195" s="194"/>
      <c r="DZ195" s="47"/>
      <c r="EA195" s="47"/>
      <c r="EB195" s="194"/>
      <c r="EC195" s="47"/>
      <c r="ED195" s="195"/>
      <c r="EE195" s="195"/>
      <c r="EF195" s="195"/>
      <c r="EG195" s="195"/>
      <c r="EH195" s="195"/>
      <c r="EI195" s="196">
        <f t="shared" ref="EI195:EI267" si="12">H195*EH195</f>
        <v>0</v>
      </c>
      <c r="EJ195" s="201">
        <f t="shared" ref="EJ195:EJ267" si="13">H195*1.27</f>
        <v>2.4688800000000004</v>
      </c>
      <c r="EK195" s="202">
        <v>2</v>
      </c>
      <c r="FA195" s="251">
        <f t="shared" si="11"/>
        <v>1.9440000000000004</v>
      </c>
    </row>
    <row r="196" spans="1:157" s="1" customFormat="1" ht="20.149999999999999" customHeight="1" x14ac:dyDescent="0.35">
      <c r="A196" s="47"/>
      <c r="B196" s="189" t="s">
        <v>952</v>
      </c>
      <c r="C196" s="47" t="s">
        <v>1418</v>
      </c>
      <c r="D196" s="2"/>
      <c r="E196" s="2" t="s">
        <v>50</v>
      </c>
      <c r="F196" s="48" t="s">
        <v>78</v>
      </c>
      <c r="G196" s="48" t="s">
        <v>37</v>
      </c>
      <c r="H196" s="328">
        <v>30</v>
      </c>
      <c r="I196" s="47"/>
      <c r="J196" s="47"/>
      <c r="K196" s="47"/>
      <c r="L196" s="47"/>
      <c r="M196" s="47"/>
      <c r="N196" s="194"/>
      <c r="O196" s="194"/>
      <c r="P196" s="194"/>
      <c r="Q196" s="194"/>
      <c r="R196" s="47"/>
      <c r="S196" s="194"/>
      <c r="T196" s="47"/>
      <c r="U196" s="194"/>
      <c r="V196" s="47"/>
      <c r="W196" s="194"/>
      <c r="X196" s="47"/>
      <c r="Y196" s="194"/>
      <c r="Z196" s="194"/>
      <c r="AA196" s="47"/>
      <c r="AB196" s="47"/>
      <c r="AC196" s="47"/>
      <c r="AD196" s="47"/>
      <c r="AE196" s="194"/>
      <c r="AF196" s="194"/>
      <c r="AG196" s="194"/>
      <c r="AI196" s="47"/>
      <c r="AJ196" s="223"/>
      <c r="AK196" s="47"/>
      <c r="AL196" s="47"/>
      <c r="AM196" s="47"/>
      <c r="AN196" s="47"/>
      <c r="AO196" s="47"/>
      <c r="AP196" s="194"/>
      <c r="AQ196" s="47"/>
      <c r="AR196" s="47"/>
      <c r="AS196" s="47"/>
      <c r="AT196" s="194">
        <v>10</v>
      </c>
      <c r="AU196" s="194"/>
      <c r="AV196" s="194"/>
      <c r="AW196" s="194"/>
      <c r="AX196" s="194"/>
      <c r="AY196" s="194"/>
      <c r="AZ196" s="194"/>
      <c r="BA196" s="194"/>
      <c r="BB196" s="194"/>
      <c r="BC196" s="194"/>
      <c r="BD196" s="194"/>
      <c r="BE196" s="194"/>
      <c r="BF196" s="194"/>
      <c r="BG196" s="194"/>
      <c r="BH196" s="194"/>
      <c r="BI196" s="194"/>
      <c r="BJ196" s="194"/>
      <c r="BK196" s="194"/>
      <c r="BL196" s="194"/>
      <c r="BM196" s="194"/>
      <c r="BN196" s="194"/>
      <c r="BO196" s="194"/>
      <c r="BP196" s="194"/>
      <c r="BQ196" s="47"/>
      <c r="BR196" s="194"/>
      <c r="BS196" s="47"/>
      <c r="BT196" s="47"/>
      <c r="BU196" s="47"/>
      <c r="BV196" s="47"/>
      <c r="BW196" s="47"/>
      <c r="BX196" s="194"/>
      <c r="BY196" s="194"/>
      <c r="BZ196" s="194"/>
      <c r="CA196" s="194"/>
      <c r="CB196" s="194"/>
      <c r="CC196" s="47"/>
      <c r="CD196" s="47"/>
      <c r="CE196" s="47"/>
      <c r="CF196" s="47"/>
      <c r="CG196" s="47"/>
      <c r="CH196" s="47"/>
      <c r="CI196" s="47"/>
      <c r="CJ196" s="47"/>
      <c r="CK196" s="224"/>
      <c r="CL196" s="194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194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198"/>
      <c r="DX196" s="47"/>
      <c r="DY196" s="194"/>
      <c r="DZ196" s="47"/>
      <c r="EA196" s="47"/>
      <c r="EB196" s="194"/>
      <c r="EC196" s="47"/>
      <c r="ED196" s="195"/>
      <c r="EE196" s="195"/>
      <c r="EF196" s="195"/>
      <c r="EG196" s="195"/>
      <c r="EH196" s="195">
        <v>9</v>
      </c>
      <c r="EI196" s="196">
        <f t="shared" si="12"/>
        <v>270</v>
      </c>
      <c r="EJ196" s="201">
        <f t="shared" si="13"/>
        <v>38.1</v>
      </c>
      <c r="EK196" s="202">
        <v>48</v>
      </c>
      <c r="FA196" s="251">
        <f t="shared" si="11"/>
        <v>30</v>
      </c>
    </row>
    <row r="197" spans="1:157" s="1" customFormat="1" ht="20.149999999999999" customHeight="1" x14ac:dyDescent="0.35">
      <c r="A197" s="2"/>
      <c r="B197" s="189" t="s">
        <v>953</v>
      </c>
      <c r="C197" s="47" t="s">
        <v>1418</v>
      </c>
      <c r="D197" s="2" t="s">
        <v>1308</v>
      </c>
      <c r="E197" s="2" t="s">
        <v>33</v>
      </c>
      <c r="F197" s="48" t="s">
        <v>48</v>
      </c>
      <c r="G197" s="48" t="s">
        <v>37</v>
      </c>
      <c r="H197" s="328">
        <f>H196/25*5</f>
        <v>6</v>
      </c>
      <c r="I197" s="47"/>
      <c r="J197" s="47"/>
      <c r="K197" s="47"/>
      <c r="L197" s="47"/>
      <c r="M197" s="47"/>
      <c r="N197" s="194"/>
      <c r="O197" s="194"/>
      <c r="P197" s="194"/>
      <c r="Q197" s="194"/>
      <c r="R197" s="47"/>
      <c r="S197" s="194">
        <v>10.8</v>
      </c>
      <c r="T197" s="47"/>
      <c r="U197" s="194"/>
      <c r="V197" s="47"/>
      <c r="W197" s="194"/>
      <c r="X197" s="47">
        <v>10</v>
      </c>
      <c r="Y197" s="194"/>
      <c r="Z197" s="194"/>
      <c r="AA197" s="47"/>
      <c r="AB197" s="47">
        <v>10.5</v>
      </c>
      <c r="AC197" s="47"/>
      <c r="AD197" s="47"/>
      <c r="AE197" s="194"/>
      <c r="AF197" s="194"/>
      <c r="AG197" s="194"/>
      <c r="AI197" s="47"/>
      <c r="AJ197" s="223"/>
      <c r="AK197" s="47"/>
      <c r="AL197" s="47"/>
      <c r="AM197" s="47"/>
      <c r="AN197" s="47"/>
      <c r="AO197" s="47"/>
      <c r="AP197" s="194"/>
      <c r="AQ197" s="47"/>
      <c r="AR197" s="47"/>
      <c r="AS197" s="47"/>
      <c r="AT197" s="194"/>
      <c r="AU197" s="194"/>
      <c r="AV197" s="194"/>
      <c r="AW197" s="194"/>
      <c r="AX197" s="194"/>
      <c r="AY197" s="194"/>
      <c r="AZ197" s="194"/>
      <c r="BA197" s="194"/>
      <c r="BB197" s="194"/>
      <c r="BC197" s="194"/>
      <c r="BD197" s="194"/>
      <c r="BE197" s="194"/>
      <c r="BF197" s="194"/>
      <c r="BG197" s="194"/>
      <c r="BH197" s="194"/>
      <c r="BI197" s="194"/>
      <c r="BJ197" s="194"/>
      <c r="BK197" s="194"/>
      <c r="BL197" s="194"/>
      <c r="BM197" s="194">
        <v>10</v>
      </c>
      <c r="BN197" s="194"/>
      <c r="BO197" s="194"/>
      <c r="BP197" s="194"/>
      <c r="BQ197" s="47"/>
      <c r="BR197" s="194"/>
      <c r="BS197" s="47">
        <v>10</v>
      </c>
      <c r="BT197" s="47">
        <v>10</v>
      </c>
      <c r="BU197" s="47"/>
      <c r="BV197" s="47"/>
      <c r="BW197" s="47"/>
      <c r="BX197" s="194"/>
      <c r="BY197" s="194"/>
      <c r="BZ197" s="194"/>
      <c r="CA197" s="194"/>
      <c r="CB197" s="194"/>
      <c r="CC197" s="47"/>
      <c r="CD197" s="47"/>
      <c r="CE197" s="47"/>
      <c r="CF197" s="47"/>
      <c r="CG197" s="47"/>
      <c r="CH197" s="47"/>
      <c r="CI197" s="47"/>
      <c r="CJ197" s="47"/>
      <c r="CK197" s="194"/>
      <c r="CL197" s="194"/>
      <c r="CM197" s="47"/>
      <c r="CN197" s="47"/>
      <c r="CO197" s="47"/>
      <c r="CP197" s="47">
        <v>12</v>
      </c>
      <c r="CQ197" s="47">
        <v>10</v>
      </c>
      <c r="CR197" s="47"/>
      <c r="CS197" s="198">
        <v>10</v>
      </c>
      <c r="CT197" s="47"/>
      <c r="CU197" s="47"/>
      <c r="CV197" s="47">
        <v>10</v>
      </c>
      <c r="CW197" s="47"/>
      <c r="CX197" s="194">
        <v>10</v>
      </c>
      <c r="CY197" s="47"/>
      <c r="CZ197" s="47">
        <v>11</v>
      </c>
      <c r="DA197" s="47"/>
      <c r="DB197" s="47"/>
      <c r="DC197" s="47"/>
      <c r="DD197" s="47"/>
      <c r="DE197" s="47"/>
      <c r="DF197" s="47"/>
      <c r="DG197" s="47"/>
      <c r="DH197" s="47"/>
      <c r="DI197" s="47"/>
      <c r="DJ197" s="47">
        <v>10</v>
      </c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>
        <v>10</v>
      </c>
      <c r="DW197" s="198"/>
      <c r="DX197" s="47"/>
      <c r="DY197" s="194"/>
      <c r="DZ197" s="47"/>
      <c r="EA197" s="47"/>
      <c r="EB197" s="194"/>
      <c r="EC197" s="47"/>
      <c r="ED197" s="195"/>
      <c r="EE197" s="195"/>
      <c r="EF197" s="195"/>
      <c r="EG197" s="195">
        <v>11</v>
      </c>
      <c r="EH197" s="195">
        <v>7</v>
      </c>
      <c r="EI197" s="196">
        <f t="shared" si="12"/>
        <v>42</v>
      </c>
      <c r="EJ197" s="201">
        <f t="shared" si="13"/>
        <v>7.62</v>
      </c>
      <c r="EK197" s="202">
        <v>10</v>
      </c>
      <c r="FA197" s="251">
        <f t="shared" si="11"/>
        <v>6</v>
      </c>
    </row>
    <row r="198" spans="1:157" s="1" customFormat="1" ht="20.149999999999999" customHeight="1" x14ac:dyDescent="0.35">
      <c r="A198" s="2"/>
      <c r="B198" s="189" t="s">
        <v>954</v>
      </c>
      <c r="C198" s="47" t="s">
        <v>1418</v>
      </c>
      <c r="D198" s="2" t="s">
        <v>1308</v>
      </c>
      <c r="E198" s="2" t="s">
        <v>33</v>
      </c>
      <c r="F198" s="48" t="s">
        <v>31</v>
      </c>
      <c r="G198" s="48" t="s">
        <v>37</v>
      </c>
      <c r="H198" s="328">
        <f>H196/25</f>
        <v>1.2</v>
      </c>
      <c r="I198" s="47"/>
      <c r="J198" s="47"/>
      <c r="K198" s="47"/>
      <c r="L198" s="47"/>
      <c r="M198" s="47"/>
      <c r="N198" s="194"/>
      <c r="O198" s="194"/>
      <c r="P198" s="194"/>
      <c r="Q198" s="194"/>
      <c r="R198" s="47"/>
      <c r="S198" s="194"/>
      <c r="T198" s="47"/>
      <c r="U198" s="194"/>
      <c r="V198" s="47"/>
      <c r="W198" s="194"/>
      <c r="X198" s="47"/>
      <c r="Y198" s="194"/>
      <c r="Z198" s="194"/>
      <c r="AA198" s="47"/>
      <c r="AB198" s="47"/>
      <c r="AC198" s="47"/>
      <c r="AD198" s="47"/>
      <c r="AE198" s="194"/>
      <c r="AF198" s="194"/>
      <c r="AG198" s="194"/>
      <c r="AI198" s="47"/>
      <c r="AJ198" s="223"/>
      <c r="AK198" s="47"/>
      <c r="AL198" s="47"/>
      <c r="AM198" s="47"/>
      <c r="AN198" s="47"/>
      <c r="AO198" s="47"/>
      <c r="AP198" s="194"/>
      <c r="AQ198" s="47">
        <v>2</v>
      </c>
      <c r="AR198" s="47"/>
      <c r="AS198" s="47"/>
      <c r="AT198" s="194"/>
      <c r="AU198" s="194"/>
      <c r="AV198" s="194"/>
      <c r="AW198" s="194"/>
      <c r="AX198" s="194"/>
      <c r="AY198" s="194"/>
      <c r="AZ198" s="194"/>
      <c r="BA198" s="194"/>
      <c r="BB198" s="194"/>
      <c r="BC198" s="194"/>
      <c r="BD198" s="194"/>
      <c r="BE198" s="194"/>
      <c r="BF198" s="194"/>
      <c r="BG198" s="194"/>
      <c r="BH198" s="194"/>
      <c r="BI198" s="194"/>
      <c r="BJ198" s="194"/>
      <c r="BK198" s="194"/>
      <c r="BL198" s="194"/>
      <c r="BM198" s="194"/>
      <c r="BN198" s="194"/>
      <c r="BO198" s="194"/>
      <c r="BP198" s="194"/>
      <c r="BQ198" s="47"/>
      <c r="BR198" s="194"/>
      <c r="BS198" s="47"/>
      <c r="BT198" s="47"/>
      <c r="BU198" s="47"/>
      <c r="BV198" s="47"/>
      <c r="BW198" s="47"/>
      <c r="BX198" s="194"/>
      <c r="BY198" s="194"/>
      <c r="BZ198" s="194"/>
      <c r="CA198" s="194"/>
      <c r="CB198" s="194"/>
      <c r="CC198" s="47"/>
      <c r="CD198" s="47"/>
      <c r="CE198" s="47"/>
      <c r="CF198" s="47"/>
      <c r="CG198" s="47"/>
      <c r="CH198" s="47"/>
      <c r="CI198" s="47"/>
      <c r="CJ198" s="47"/>
      <c r="CK198" s="194"/>
      <c r="CL198" s="194">
        <v>2</v>
      </c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194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>
        <v>2</v>
      </c>
      <c r="DV198" s="47"/>
      <c r="DW198" s="198">
        <v>2</v>
      </c>
      <c r="DX198" s="47"/>
      <c r="DY198" s="194"/>
      <c r="DZ198" s="47"/>
      <c r="EA198" s="47"/>
      <c r="EB198" s="194"/>
      <c r="EC198" s="47"/>
      <c r="ED198" s="195"/>
      <c r="EE198" s="195"/>
      <c r="EF198" s="195"/>
      <c r="EG198" s="195"/>
      <c r="EH198" s="195">
        <v>6</v>
      </c>
      <c r="EI198" s="196">
        <f t="shared" si="12"/>
        <v>7.1999999999999993</v>
      </c>
      <c r="EJ198" s="201">
        <f t="shared" si="13"/>
        <v>1.524</v>
      </c>
      <c r="EK198" s="202">
        <v>2.5</v>
      </c>
      <c r="FA198" s="251">
        <f t="shared" si="11"/>
        <v>1.2</v>
      </c>
    </row>
    <row r="199" spans="1:157" s="1" customFormat="1" ht="20.149999999999999" customHeight="1" x14ac:dyDescent="0.35">
      <c r="A199" s="2"/>
      <c r="B199" s="189" t="s">
        <v>955</v>
      </c>
      <c r="C199" s="47" t="s">
        <v>1418</v>
      </c>
      <c r="D199" s="2" t="s">
        <v>1308</v>
      </c>
      <c r="E199" s="2" t="s">
        <v>33</v>
      </c>
      <c r="F199" s="48" t="s">
        <v>613</v>
      </c>
      <c r="G199" s="48" t="s">
        <v>37</v>
      </c>
      <c r="H199" s="328">
        <f>H198/2</f>
        <v>0.6</v>
      </c>
      <c r="I199" s="47"/>
      <c r="J199" s="47"/>
      <c r="K199" s="47"/>
      <c r="L199" s="47"/>
      <c r="M199" s="47"/>
      <c r="N199" s="194"/>
      <c r="O199" s="194"/>
      <c r="P199" s="194"/>
      <c r="Q199" s="194"/>
      <c r="R199" s="47"/>
      <c r="S199" s="194"/>
      <c r="T199" s="47"/>
      <c r="U199" s="194"/>
      <c r="V199" s="47"/>
      <c r="W199" s="194"/>
      <c r="X199" s="47"/>
      <c r="Y199" s="194"/>
      <c r="Z199" s="194"/>
      <c r="AA199" s="47"/>
      <c r="AB199" s="47"/>
      <c r="AC199" s="47"/>
      <c r="AD199" s="47"/>
      <c r="AE199" s="194"/>
      <c r="AF199" s="194"/>
      <c r="AG199" s="194"/>
      <c r="AI199" s="47"/>
      <c r="AJ199" s="223"/>
      <c r="AK199" s="47"/>
      <c r="AL199" s="47"/>
      <c r="AM199" s="47"/>
      <c r="AN199" s="47"/>
      <c r="AO199" s="47"/>
      <c r="AP199" s="194"/>
      <c r="AQ199" s="47"/>
      <c r="AR199" s="47"/>
      <c r="AS199" s="47"/>
      <c r="AT199" s="194"/>
      <c r="AU199" s="194"/>
      <c r="AV199" s="194"/>
      <c r="AW199" s="194"/>
      <c r="AX199" s="194"/>
      <c r="AY199" s="194"/>
      <c r="AZ199" s="194"/>
      <c r="BA199" s="194"/>
      <c r="BB199" s="194"/>
      <c r="BC199" s="194"/>
      <c r="BD199" s="194"/>
      <c r="BE199" s="194"/>
      <c r="BF199" s="194"/>
      <c r="BG199" s="194"/>
      <c r="BH199" s="194"/>
      <c r="BI199" s="194"/>
      <c r="BJ199" s="194"/>
      <c r="BK199" s="194"/>
      <c r="BL199" s="194"/>
      <c r="BM199" s="194"/>
      <c r="BN199" s="194"/>
      <c r="BO199" s="194"/>
      <c r="BP199" s="194"/>
      <c r="BQ199" s="47"/>
      <c r="BR199" s="194"/>
      <c r="BS199" s="47"/>
      <c r="BT199" s="47"/>
      <c r="BU199" s="47"/>
      <c r="BV199" s="47"/>
      <c r="BW199" s="47"/>
      <c r="BX199" s="194"/>
      <c r="BY199" s="194"/>
      <c r="BZ199" s="194"/>
      <c r="CA199" s="194"/>
      <c r="CB199" s="194"/>
      <c r="CC199" s="47"/>
      <c r="CD199" s="47"/>
      <c r="CE199" s="47"/>
      <c r="CF199" s="47"/>
      <c r="CG199" s="47"/>
      <c r="CH199" s="47"/>
      <c r="CI199" s="47"/>
      <c r="CJ199" s="47"/>
      <c r="CK199" s="194"/>
      <c r="CL199" s="194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194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198"/>
      <c r="DX199" s="47"/>
      <c r="DY199" s="194"/>
      <c r="DZ199" s="47"/>
      <c r="EA199" s="47"/>
      <c r="EB199" s="194"/>
      <c r="EC199" s="47"/>
      <c r="ED199" s="195"/>
      <c r="EE199" s="195"/>
      <c r="EF199" s="195"/>
      <c r="EG199" s="195"/>
      <c r="EH199" s="195"/>
      <c r="EI199" s="196">
        <f t="shared" si="12"/>
        <v>0</v>
      </c>
      <c r="EJ199" s="201">
        <f t="shared" si="13"/>
        <v>0.76200000000000001</v>
      </c>
      <c r="EK199" s="202" t="e">
        <f>AVERAGE(I199:EC199)</f>
        <v>#DIV/0!</v>
      </c>
      <c r="FA199" s="251">
        <f t="shared" si="11"/>
        <v>0.6</v>
      </c>
    </row>
    <row r="200" spans="1:157" s="1" customFormat="1" ht="20.149999999999999" customHeight="1" x14ac:dyDescent="0.35">
      <c r="A200" s="2"/>
      <c r="B200" s="189" t="s">
        <v>956</v>
      </c>
      <c r="C200" s="47" t="s">
        <v>180</v>
      </c>
      <c r="D200" s="2" t="s">
        <v>56</v>
      </c>
      <c r="E200" s="2" t="s">
        <v>33</v>
      </c>
      <c r="F200" s="48" t="s">
        <v>64</v>
      </c>
      <c r="G200" s="48" t="s">
        <v>45</v>
      </c>
      <c r="H200" s="328">
        <v>7.8</v>
      </c>
      <c r="I200" s="47"/>
      <c r="J200" s="47"/>
      <c r="K200" s="47"/>
      <c r="L200" s="47"/>
      <c r="M200" s="47">
        <v>10.5</v>
      </c>
      <c r="N200" s="194"/>
      <c r="O200" s="194"/>
      <c r="P200" s="194"/>
      <c r="Q200" s="194">
        <v>11</v>
      </c>
      <c r="R200" s="47"/>
      <c r="S200" s="194">
        <v>10.5</v>
      </c>
      <c r="T200" s="47"/>
      <c r="U200" s="194"/>
      <c r="V200" s="47"/>
      <c r="W200" s="194"/>
      <c r="X200" s="47">
        <v>10.5</v>
      </c>
      <c r="Y200" s="194"/>
      <c r="Z200" s="194"/>
      <c r="AA200" s="47"/>
      <c r="AB200" s="47">
        <v>11</v>
      </c>
      <c r="AC200" s="47"/>
      <c r="AD200" s="47"/>
      <c r="AE200" s="194"/>
      <c r="AF200" s="194"/>
      <c r="AG200" s="194"/>
      <c r="AI200" s="47"/>
      <c r="AJ200" s="223"/>
      <c r="AK200" s="47"/>
      <c r="AL200" s="47">
        <v>10.5</v>
      </c>
      <c r="AM200" s="47"/>
      <c r="AN200" s="47"/>
      <c r="AO200" s="47"/>
      <c r="AP200" s="194">
        <v>10.5</v>
      </c>
      <c r="AQ200" s="47">
        <v>10.5</v>
      </c>
      <c r="AR200" s="47">
        <v>10.5</v>
      </c>
      <c r="AS200" s="47"/>
      <c r="AT200" s="194">
        <v>10.5</v>
      </c>
      <c r="AU200" s="194"/>
      <c r="AV200" s="194"/>
      <c r="AW200" s="194"/>
      <c r="AX200" s="194"/>
      <c r="AY200" s="194">
        <v>10.5</v>
      </c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>
        <v>10.5</v>
      </c>
      <c r="BN200" s="194"/>
      <c r="BO200" s="194"/>
      <c r="BP200" s="194"/>
      <c r="BQ200" s="47"/>
      <c r="BR200" s="194"/>
      <c r="BS200" s="47">
        <v>10.5</v>
      </c>
      <c r="BT200" s="47">
        <v>10.5</v>
      </c>
      <c r="BU200" s="47"/>
      <c r="BV200" s="47"/>
      <c r="BW200" s="47"/>
      <c r="BX200" s="194"/>
      <c r="BY200" s="194"/>
      <c r="BZ200" s="194">
        <v>10.5</v>
      </c>
      <c r="CA200" s="194"/>
      <c r="CB200" s="194"/>
      <c r="CC200" s="47"/>
      <c r="CD200" s="47"/>
      <c r="CE200" s="47"/>
      <c r="CF200" s="47"/>
      <c r="CG200" s="47">
        <v>10.5</v>
      </c>
      <c r="CH200" s="47"/>
      <c r="CI200" s="47"/>
      <c r="CJ200" s="47"/>
      <c r="CK200" s="224"/>
      <c r="CL200" s="194">
        <v>10.5</v>
      </c>
      <c r="CM200" s="47"/>
      <c r="CN200" s="47"/>
      <c r="CO200" s="47"/>
      <c r="CP200" s="47">
        <v>10.5</v>
      </c>
      <c r="CQ200" s="47">
        <v>10.5</v>
      </c>
      <c r="CR200" s="47"/>
      <c r="CS200" s="198">
        <v>10.5</v>
      </c>
      <c r="CT200" s="47"/>
      <c r="CU200" s="47"/>
      <c r="CV200" s="47">
        <v>10.5</v>
      </c>
      <c r="CW200" s="47"/>
      <c r="CX200" s="194"/>
      <c r="CY200" s="47"/>
      <c r="CZ200" s="47">
        <v>10.5</v>
      </c>
      <c r="DA200" s="47"/>
      <c r="DB200" s="47"/>
      <c r="DC200" s="47"/>
      <c r="DD200" s="47"/>
      <c r="DE200" s="47"/>
      <c r="DF200" s="47"/>
      <c r="DG200" s="47"/>
      <c r="DH200" s="47"/>
      <c r="DI200" s="47"/>
      <c r="DJ200" s="47">
        <v>10.5</v>
      </c>
      <c r="DK200" s="47"/>
      <c r="DL200" s="47"/>
      <c r="DM200" s="47"/>
      <c r="DN200" s="47"/>
      <c r="DO200" s="47"/>
      <c r="DP200" s="47"/>
      <c r="DQ200" s="47"/>
      <c r="DR200" s="47"/>
      <c r="DS200" s="47"/>
      <c r="DT200" s="47"/>
      <c r="DU200" s="47">
        <v>1</v>
      </c>
      <c r="DV200" s="47"/>
      <c r="DW200" s="198"/>
      <c r="DX200" s="47"/>
      <c r="DY200" s="194"/>
      <c r="DZ200" s="47"/>
      <c r="EA200" s="47"/>
      <c r="EB200" s="194"/>
      <c r="EC200" s="47"/>
      <c r="ED200" s="195"/>
      <c r="EE200" s="195"/>
      <c r="EF200" s="195"/>
      <c r="EG200" s="195">
        <v>10.5</v>
      </c>
      <c r="EH200" s="195">
        <f>12*6+3</f>
        <v>75</v>
      </c>
      <c r="EI200" s="196">
        <f t="shared" si="12"/>
        <v>585</v>
      </c>
      <c r="EJ200" s="201">
        <f t="shared" si="13"/>
        <v>9.9060000000000006</v>
      </c>
      <c r="EK200" s="202">
        <v>8.5</v>
      </c>
      <c r="FA200" s="251">
        <f t="shared" si="11"/>
        <v>7.8</v>
      </c>
    </row>
    <row r="201" spans="1:157" s="1" customFormat="1" ht="20.149999999999999" customHeight="1" x14ac:dyDescent="0.35">
      <c r="A201" s="2"/>
      <c r="B201" s="189" t="s">
        <v>957</v>
      </c>
      <c r="C201" s="47" t="s">
        <v>181</v>
      </c>
      <c r="D201" s="2" t="s">
        <v>698</v>
      </c>
      <c r="E201" s="2" t="s">
        <v>33</v>
      </c>
      <c r="F201" s="48" t="s">
        <v>573</v>
      </c>
      <c r="G201" s="48" t="s">
        <v>37</v>
      </c>
      <c r="H201" s="328">
        <v>37</v>
      </c>
      <c r="I201" s="47"/>
      <c r="J201" s="47"/>
      <c r="K201" s="47"/>
      <c r="L201" s="47"/>
      <c r="M201" s="47"/>
      <c r="N201" s="194"/>
      <c r="O201" s="194"/>
      <c r="P201" s="194"/>
      <c r="Q201" s="194"/>
      <c r="R201" s="47"/>
      <c r="S201" s="194"/>
      <c r="T201" s="47"/>
      <c r="U201" s="194"/>
      <c r="V201" s="47"/>
      <c r="W201" s="194"/>
      <c r="X201" s="47"/>
      <c r="Y201" s="194"/>
      <c r="Z201" s="194"/>
      <c r="AA201" s="47"/>
      <c r="AB201" s="47"/>
      <c r="AC201" s="47"/>
      <c r="AD201" s="47"/>
      <c r="AE201" s="194"/>
      <c r="AF201" s="194"/>
      <c r="AG201" s="194"/>
      <c r="AI201" s="47"/>
      <c r="AJ201" s="223"/>
      <c r="AK201" s="47"/>
      <c r="AL201" s="47"/>
      <c r="AM201" s="47"/>
      <c r="AN201" s="47"/>
      <c r="AO201" s="47"/>
      <c r="AP201" s="194"/>
      <c r="AQ201" s="47"/>
      <c r="AR201" s="47"/>
      <c r="AS201" s="47"/>
      <c r="AT201" s="194"/>
      <c r="AU201" s="194"/>
      <c r="AV201" s="194"/>
      <c r="AW201" s="194"/>
      <c r="AX201" s="194"/>
      <c r="AY201" s="194"/>
      <c r="AZ201" s="194"/>
      <c r="BA201" s="194"/>
      <c r="BB201" s="194"/>
      <c r="BC201" s="194"/>
      <c r="BD201" s="194"/>
      <c r="BE201" s="194"/>
      <c r="BF201" s="194"/>
      <c r="BG201" s="194">
        <v>45</v>
      </c>
      <c r="BH201" s="194"/>
      <c r="BI201" s="194"/>
      <c r="BJ201" s="194"/>
      <c r="BK201" s="194"/>
      <c r="BL201" s="194"/>
      <c r="BM201" s="194"/>
      <c r="BN201" s="194"/>
      <c r="BO201" s="194"/>
      <c r="BP201" s="194"/>
      <c r="BQ201" s="47"/>
      <c r="BR201" s="194"/>
      <c r="BS201" s="47"/>
      <c r="BT201" s="47"/>
      <c r="BU201" s="47"/>
      <c r="BV201" s="47"/>
      <c r="BW201" s="47"/>
      <c r="BX201" s="194">
        <v>45</v>
      </c>
      <c r="BY201" s="194"/>
      <c r="BZ201" s="194"/>
      <c r="CA201" s="194"/>
      <c r="CB201" s="194"/>
      <c r="CC201" s="47"/>
      <c r="CD201" s="47"/>
      <c r="CE201" s="47"/>
      <c r="CF201" s="47"/>
      <c r="CG201" s="47"/>
      <c r="CH201" s="47"/>
      <c r="CI201" s="47"/>
      <c r="CJ201" s="47"/>
      <c r="CK201" s="224"/>
      <c r="CL201" s="194"/>
      <c r="CM201" s="47"/>
      <c r="CN201" s="47"/>
      <c r="CO201" s="47"/>
      <c r="CP201" s="47">
        <v>48</v>
      </c>
      <c r="CQ201" s="47"/>
      <c r="CR201" s="47"/>
      <c r="CS201" s="198"/>
      <c r="CT201" s="47"/>
      <c r="CU201" s="47"/>
      <c r="CV201" s="47"/>
      <c r="CW201" s="47"/>
      <c r="CX201" s="194"/>
      <c r="CY201" s="47"/>
      <c r="CZ201" s="47"/>
      <c r="DA201" s="47"/>
      <c r="DB201" s="47"/>
      <c r="DC201" s="47"/>
      <c r="DD201" s="47"/>
      <c r="DE201" s="47"/>
      <c r="DF201" s="47"/>
      <c r="DG201" s="47"/>
      <c r="DH201" s="47"/>
      <c r="DI201" s="47"/>
      <c r="DJ201" s="47"/>
      <c r="DK201" s="47"/>
      <c r="DL201" s="47"/>
      <c r="DM201" s="47"/>
      <c r="DN201" s="47"/>
      <c r="DO201" s="47"/>
      <c r="DP201" s="47"/>
      <c r="DQ201" s="47"/>
      <c r="DR201" s="47"/>
      <c r="DS201" s="47"/>
      <c r="DT201" s="47"/>
      <c r="DU201" s="47"/>
      <c r="DV201" s="47"/>
      <c r="DW201" s="198"/>
      <c r="DX201" s="47"/>
      <c r="DY201" s="194"/>
      <c r="DZ201" s="47"/>
      <c r="EA201" s="47"/>
      <c r="EB201" s="194"/>
      <c r="EC201" s="47"/>
      <c r="ED201" s="195"/>
      <c r="EE201" s="195"/>
      <c r="EF201" s="195"/>
      <c r="EG201" s="195"/>
      <c r="EH201" s="195">
        <v>15</v>
      </c>
      <c r="EI201" s="196">
        <f t="shared" si="12"/>
        <v>555</v>
      </c>
      <c r="EJ201" s="201">
        <f t="shared" si="13"/>
        <v>46.99</v>
      </c>
      <c r="EK201" s="202">
        <f>AVERAGE(I201:EC201)</f>
        <v>46</v>
      </c>
      <c r="FA201" s="251">
        <f t="shared" si="11"/>
        <v>37</v>
      </c>
    </row>
    <row r="202" spans="1:157" s="1" customFormat="1" ht="20.149999999999999" customHeight="1" x14ac:dyDescent="0.35">
      <c r="A202" s="2"/>
      <c r="B202" s="189" t="s">
        <v>958</v>
      </c>
      <c r="C202" s="47" t="s">
        <v>181</v>
      </c>
      <c r="D202" s="2" t="s">
        <v>698</v>
      </c>
      <c r="E202" s="2" t="s">
        <v>33</v>
      </c>
      <c r="F202" s="48" t="s">
        <v>48</v>
      </c>
      <c r="G202" s="48" t="s">
        <v>37</v>
      </c>
      <c r="H202" s="328">
        <v>7.6</v>
      </c>
      <c r="I202" s="47"/>
      <c r="J202" s="47"/>
      <c r="K202" s="47"/>
      <c r="L202" s="47">
        <v>11</v>
      </c>
      <c r="M202" s="47">
        <v>10</v>
      </c>
      <c r="N202" s="194"/>
      <c r="O202" s="194"/>
      <c r="P202" s="194"/>
      <c r="Q202" s="194">
        <v>10</v>
      </c>
      <c r="R202" s="194"/>
      <c r="S202" s="194"/>
      <c r="T202" s="47"/>
      <c r="U202" s="194"/>
      <c r="V202" s="47"/>
      <c r="W202" s="194"/>
      <c r="X202" s="47">
        <v>10</v>
      </c>
      <c r="Y202" s="194"/>
      <c r="Z202" s="194"/>
      <c r="AA202" s="47"/>
      <c r="AB202" s="47">
        <v>10.8</v>
      </c>
      <c r="AC202" s="47"/>
      <c r="AD202" s="47"/>
      <c r="AE202" s="194"/>
      <c r="AF202" s="194"/>
      <c r="AG202" s="194"/>
      <c r="AI202" s="89">
        <v>10</v>
      </c>
      <c r="AJ202" s="223"/>
      <c r="AK202" s="47"/>
      <c r="AL202" s="47">
        <v>10</v>
      </c>
      <c r="AM202" s="47"/>
      <c r="AN202" s="47"/>
      <c r="AO202" s="47"/>
      <c r="AP202" s="194"/>
      <c r="AQ202" s="47"/>
      <c r="AR202" s="47">
        <v>10</v>
      </c>
      <c r="AS202" s="47"/>
      <c r="AT202" s="194">
        <v>10</v>
      </c>
      <c r="AU202" s="194"/>
      <c r="AV202" s="194"/>
      <c r="AW202" s="194"/>
      <c r="AX202" s="194"/>
      <c r="AY202" s="194">
        <v>10</v>
      </c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4"/>
      <c r="BL202" s="194"/>
      <c r="BM202" s="194">
        <v>10</v>
      </c>
      <c r="BN202" s="194"/>
      <c r="BO202" s="194"/>
      <c r="BP202" s="194"/>
      <c r="BQ202" s="47"/>
      <c r="BR202" s="194"/>
      <c r="BS202" s="47">
        <v>10</v>
      </c>
      <c r="BT202" s="47"/>
      <c r="BU202" s="47"/>
      <c r="BV202" s="47"/>
      <c r="BW202" s="47"/>
      <c r="BX202" s="194"/>
      <c r="BY202" s="194"/>
      <c r="BZ202" s="194">
        <v>10</v>
      </c>
      <c r="CA202" s="194"/>
      <c r="CB202" s="194"/>
      <c r="CC202" s="47"/>
      <c r="CD202" s="47">
        <v>10</v>
      </c>
      <c r="CE202" s="47"/>
      <c r="CF202" s="47"/>
      <c r="CG202" s="47"/>
      <c r="CH202" s="47"/>
      <c r="CI202" s="47">
        <v>10.5</v>
      </c>
      <c r="CJ202" s="47"/>
      <c r="CK202" s="224"/>
      <c r="CL202" s="194"/>
      <c r="CM202" s="47"/>
      <c r="CN202" s="47"/>
      <c r="CO202" s="47">
        <v>10.5</v>
      </c>
      <c r="CP202" s="47"/>
      <c r="CQ202" s="47">
        <v>10</v>
      </c>
      <c r="CR202" s="47"/>
      <c r="CS202" s="198">
        <v>10</v>
      </c>
      <c r="CT202" s="47">
        <v>11</v>
      </c>
      <c r="CU202" s="47"/>
      <c r="CV202" s="47">
        <v>10</v>
      </c>
      <c r="CW202" s="47"/>
      <c r="CX202" s="194">
        <v>10</v>
      </c>
      <c r="CY202" s="47">
        <v>10</v>
      </c>
      <c r="CZ202" s="47"/>
      <c r="DA202" s="47"/>
      <c r="DB202" s="47"/>
      <c r="DC202" s="47"/>
      <c r="DD202" s="47"/>
      <c r="DE202" s="47"/>
      <c r="DF202" s="47"/>
      <c r="DG202" s="47"/>
      <c r="DH202" s="47"/>
      <c r="DI202" s="47"/>
      <c r="DJ202" s="47">
        <v>10</v>
      </c>
      <c r="DK202" s="47"/>
      <c r="DL202" s="47"/>
      <c r="DM202" s="47"/>
      <c r="DN202" s="47"/>
      <c r="DO202" s="47"/>
      <c r="DP202" s="47"/>
      <c r="DQ202" s="47"/>
      <c r="DR202" s="47"/>
      <c r="DS202" s="47"/>
      <c r="DT202" s="47"/>
      <c r="DU202" s="47"/>
      <c r="DV202" s="47">
        <v>8.5</v>
      </c>
      <c r="DW202" s="198"/>
      <c r="DX202" s="47"/>
      <c r="DY202" s="194"/>
      <c r="DZ202" s="47"/>
      <c r="EA202" s="47"/>
      <c r="EB202" s="194"/>
      <c r="EC202" s="47"/>
      <c r="ED202" s="195"/>
      <c r="EE202" s="195"/>
      <c r="EF202" s="195"/>
      <c r="EG202" s="195"/>
      <c r="EH202" s="195">
        <v>13</v>
      </c>
      <c r="EI202" s="196">
        <f t="shared" si="12"/>
        <v>98.8</v>
      </c>
      <c r="EJ202" s="201">
        <f t="shared" si="13"/>
        <v>9.6519999999999992</v>
      </c>
      <c r="EK202" s="202">
        <v>7</v>
      </c>
      <c r="FA202" s="251">
        <f t="shared" si="11"/>
        <v>7.6</v>
      </c>
    </row>
    <row r="203" spans="1:157" s="1" customFormat="1" ht="20.149999999999999" customHeight="1" x14ac:dyDescent="0.35">
      <c r="A203" s="2"/>
      <c r="B203" s="189" t="s">
        <v>959</v>
      </c>
      <c r="C203" s="47" t="s">
        <v>181</v>
      </c>
      <c r="D203" s="2" t="s">
        <v>698</v>
      </c>
      <c r="E203" s="2" t="s">
        <v>33</v>
      </c>
      <c r="F203" s="48" t="s">
        <v>31</v>
      </c>
      <c r="G203" s="48" t="s">
        <v>37</v>
      </c>
      <c r="H203" s="328">
        <f>H202/5</f>
        <v>1.52</v>
      </c>
      <c r="I203" s="47"/>
      <c r="J203" s="47"/>
      <c r="K203" s="47"/>
      <c r="L203" s="47"/>
      <c r="M203" s="47"/>
      <c r="N203" s="194"/>
      <c r="O203" s="194"/>
      <c r="P203" s="194"/>
      <c r="Q203" s="194"/>
      <c r="R203" s="47"/>
      <c r="S203" s="194">
        <v>2.5</v>
      </c>
      <c r="T203" s="228"/>
      <c r="U203" s="194"/>
      <c r="V203" s="47"/>
      <c r="W203" s="194"/>
      <c r="X203" s="47"/>
      <c r="Y203" s="194"/>
      <c r="Z203" s="194"/>
      <c r="AA203" s="47"/>
      <c r="AB203" s="47"/>
      <c r="AC203" s="47"/>
      <c r="AD203" s="47"/>
      <c r="AE203" s="194"/>
      <c r="AF203" s="194"/>
      <c r="AG203" s="194"/>
      <c r="AI203" s="47"/>
      <c r="AJ203" s="223"/>
      <c r="AK203" s="47"/>
      <c r="AL203" s="47"/>
      <c r="AM203" s="47"/>
      <c r="AN203" s="47"/>
      <c r="AO203" s="47"/>
      <c r="AP203" s="194"/>
      <c r="AQ203" s="47"/>
      <c r="AR203" s="47">
        <v>2.2000000000000002</v>
      </c>
      <c r="AS203" s="47"/>
      <c r="AT203" s="194"/>
      <c r="AU203" s="194"/>
      <c r="AV203" s="194"/>
      <c r="AW203" s="194"/>
      <c r="AX203" s="194"/>
      <c r="AY203" s="194"/>
      <c r="AZ203" s="194"/>
      <c r="BA203" s="194"/>
      <c r="BB203" s="194"/>
      <c r="BC203" s="194"/>
      <c r="BD203" s="194"/>
      <c r="BE203" s="194"/>
      <c r="BF203" s="194"/>
      <c r="BG203" s="194"/>
      <c r="BH203" s="194"/>
      <c r="BI203" s="194"/>
      <c r="BJ203" s="194"/>
      <c r="BK203" s="194"/>
      <c r="BL203" s="194"/>
      <c r="BM203" s="194"/>
      <c r="BN203" s="194"/>
      <c r="BO203" s="194"/>
      <c r="BP203" s="194"/>
      <c r="BQ203" s="47"/>
      <c r="BR203" s="194"/>
      <c r="BS203" s="47"/>
      <c r="BT203" s="47"/>
      <c r="BU203" s="47"/>
      <c r="BV203" s="47"/>
      <c r="BW203" s="47"/>
      <c r="BX203" s="194"/>
      <c r="BY203" s="194"/>
      <c r="BZ203" s="194"/>
      <c r="CA203" s="194"/>
      <c r="CB203" s="194"/>
      <c r="CC203" s="47"/>
      <c r="CD203" s="47"/>
      <c r="CE203" s="47"/>
      <c r="CF203" s="47"/>
      <c r="CG203" s="47"/>
      <c r="CH203" s="47"/>
      <c r="CI203" s="47"/>
      <c r="CJ203" s="47"/>
      <c r="CK203" s="224"/>
      <c r="CL203" s="194">
        <v>2.2000000000000002</v>
      </c>
      <c r="CM203" s="47"/>
      <c r="CN203" s="47"/>
      <c r="CO203" s="47"/>
      <c r="CP203" s="47"/>
      <c r="CQ203" s="47"/>
      <c r="CR203" s="47"/>
      <c r="CS203" s="47"/>
      <c r="CT203" s="47"/>
      <c r="CU203" s="47"/>
      <c r="CV203" s="47"/>
      <c r="CW203" s="47"/>
      <c r="CX203" s="194"/>
      <c r="CY203" s="47"/>
      <c r="CZ203" s="47">
        <v>2.2000000000000002</v>
      </c>
      <c r="DA203" s="47"/>
      <c r="DB203" s="47"/>
      <c r="DC203" s="47"/>
      <c r="DD203" s="47"/>
      <c r="DE203" s="47"/>
      <c r="DF203" s="47"/>
      <c r="DG203" s="47"/>
      <c r="DH203" s="47"/>
      <c r="DI203" s="47"/>
      <c r="DJ203" s="47"/>
      <c r="DK203" s="47"/>
      <c r="DL203" s="47"/>
      <c r="DM203" s="47"/>
      <c r="DN203" s="47"/>
      <c r="DO203" s="47"/>
      <c r="DP203" s="47"/>
      <c r="DQ203" s="47"/>
      <c r="DR203" s="47"/>
      <c r="DS203" s="47"/>
      <c r="DT203" s="47"/>
      <c r="DU203" s="47">
        <v>1</v>
      </c>
      <c r="DV203" s="47"/>
      <c r="DW203" s="198"/>
      <c r="DX203" s="47"/>
      <c r="DY203" s="194"/>
      <c r="DZ203" s="47"/>
      <c r="EA203" s="47"/>
      <c r="EB203" s="194"/>
      <c r="EC203" s="47"/>
      <c r="ED203" s="195"/>
      <c r="EE203" s="195"/>
      <c r="EF203" s="195"/>
      <c r="EG203" s="195"/>
      <c r="EH203" s="195">
        <v>5</v>
      </c>
      <c r="EI203" s="196">
        <f t="shared" si="12"/>
        <v>7.6</v>
      </c>
      <c r="EJ203" s="201">
        <f t="shared" si="13"/>
        <v>1.9304000000000001</v>
      </c>
      <c r="EK203" s="202">
        <f>AVERAGE(I203:EC203)</f>
        <v>2.0200000000000005</v>
      </c>
      <c r="FA203" s="251">
        <f t="shared" si="11"/>
        <v>1.52</v>
      </c>
    </row>
    <row r="204" spans="1:157" s="1" customFormat="1" ht="20.149999999999999" customHeight="1" x14ac:dyDescent="0.35">
      <c r="A204" s="2"/>
      <c r="B204" s="189" t="s">
        <v>960</v>
      </c>
      <c r="C204" s="47" t="s">
        <v>182</v>
      </c>
      <c r="D204" s="2" t="s">
        <v>770</v>
      </c>
      <c r="E204" s="2" t="s">
        <v>697</v>
      </c>
      <c r="F204" s="48" t="s">
        <v>79</v>
      </c>
      <c r="G204" s="48" t="s">
        <v>37</v>
      </c>
      <c r="H204" s="328">
        <v>49</v>
      </c>
      <c r="I204" s="47"/>
      <c r="J204" s="47"/>
      <c r="K204" s="47"/>
      <c r="L204" s="47"/>
      <c r="M204" s="47"/>
      <c r="N204" s="194"/>
      <c r="O204" s="194"/>
      <c r="P204" s="194"/>
      <c r="Q204" s="194"/>
      <c r="R204" s="47"/>
      <c r="S204" s="194"/>
      <c r="T204" s="47"/>
      <c r="U204" s="194"/>
      <c r="V204" s="47"/>
      <c r="W204" s="194"/>
      <c r="X204" s="47"/>
      <c r="Y204" s="194"/>
      <c r="Z204" s="194"/>
      <c r="AA204" s="47"/>
      <c r="AB204" s="47"/>
      <c r="AC204" s="47"/>
      <c r="AD204" s="47"/>
      <c r="AE204" s="194"/>
      <c r="AF204" s="194"/>
      <c r="AG204" s="194"/>
      <c r="AI204" s="47"/>
      <c r="AJ204" s="198"/>
      <c r="AK204" s="47"/>
      <c r="AL204" s="47"/>
      <c r="AM204" s="47"/>
      <c r="AN204" s="47"/>
      <c r="AO204" s="47"/>
      <c r="AP204" s="194"/>
      <c r="AQ204" s="47"/>
      <c r="AR204" s="47"/>
      <c r="AS204" s="47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  <c r="BJ204" s="194"/>
      <c r="BK204" s="194"/>
      <c r="BL204" s="194"/>
      <c r="BM204" s="194"/>
      <c r="BN204" s="194"/>
      <c r="BO204" s="194"/>
      <c r="BP204" s="194"/>
      <c r="BQ204" s="47"/>
      <c r="BR204" s="194"/>
      <c r="BS204" s="47"/>
      <c r="BT204" s="47"/>
      <c r="BU204" s="47"/>
      <c r="BV204" s="47"/>
      <c r="BW204" s="47"/>
      <c r="BX204" s="194"/>
      <c r="BY204" s="194"/>
      <c r="BZ204" s="194"/>
      <c r="CA204" s="194"/>
      <c r="CB204" s="194"/>
      <c r="CC204" s="47"/>
      <c r="CD204" s="47"/>
      <c r="CE204" s="47"/>
      <c r="CF204" s="47"/>
      <c r="CG204" s="47"/>
      <c r="CH204" s="47"/>
      <c r="CI204" s="47"/>
      <c r="CJ204" s="47"/>
      <c r="CK204" s="47"/>
      <c r="CL204" s="194"/>
      <c r="CM204" s="47"/>
      <c r="CN204" s="47"/>
      <c r="CO204" s="47"/>
      <c r="CP204" s="47"/>
      <c r="CQ204" s="47"/>
      <c r="CR204" s="47"/>
      <c r="CS204" s="198"/>
      <c r="CT204" s="47"/>
      <c r="CU204" s="47"/>
      <c r="CV204" s="47"/>
      <c r="CW204" s="47"/>
      <c r="CX204" s="194"/>
      <c r="CY204" s="47"/>
      <c r="CZ204" s="47"/>
      <c r="DA204" s="47"/>
      <c r="DB204" s="47"/>
      <c r="DC204" s="47"/>
      <c r="DD204" s="47"/>
      <c r="DE204" s="47"/>
      <c r="DF204" s="47"/>
      <c r="DG204" s="47"/>
      <c r="DH204" s="47"/>
      <c r="DI204" s="47"/>
      <c r="DJ204" s="47"/>
      <c r="DK204" s="47"/>
      <c r="DL204" s="47"/>
      <c r="DM204" s="47"/>
      <c r="DN204" s="47"/>
      <c r="DO204" s="47"/>
      <c r="DP204" s="47"/>
      <c r="DQ204" s="47"/>
      <c r="DR204" s="47"/>
      <c r="DS204" s="47"/>
      <c r="DT204" s="47"/>
      <c r="DU204" s="47"/>
      <c r="DV204" s="47"/>
      <c r="DW204" s="198"/>
      <c r="DX204" s="47"/>
      <c r="DY204" s="194"/>
      <c r="DZ204" s="47"/>
      <c r="EA204" s="47"/>
      <c r="EB204" s="194"/>
      <c r="EC204" s="47"/>
      <c r="ED204" s="195"/>
      <c r="EE204" s="195"/>
      <c r="EF204" s="195"/>
      <c r="EG204" s="195"/>
      <c r="EH204" s="195">
        <v>4</v>
      </c>
      <c r="EI204" s="196">
        <f t="shared" si="12"/>
        <v>196</v>
      </c>
      <c r="EJ204" s="201">
        <f t="shared" si="13"/>
        <v>62.230000000000004</v>
      </c>
      <c r="EK204" s="202">
        <v>0</v>
      </c>
      <c r="FA204" s="251">
        <f t="shared" si="11"/>
        <v>49</v>
      </c>
    </row>
    <row r="205" spans="1:157" s="1" customFormat="1" ht="20.149999999999999" customHeight="1" x14ac:dyDescent="0.35">
      <c r="A205" s="2"/>
      <c r="B205" s="189" t="s">
        <v>961</v>
      </c>
      <c r="C205" s="47" t="s">
        <v>182</v>
      </c>
      <c r="D205" s="2" t="s">
        <v>770</v>
      </c>
      <c r="E205" s="2" t="s">
        <v>697</v>
      </c>
      <c r="F205" s="48" t="s">
        <v>48</v>
      </c>
      <c r="G205" s="48" t="s">
        <v>37</v>
      </c>
      <c r="H205" s="328">
        <f>H204/30*5</f>
        <v>8.1666666666666661</v>
      </c>
      <c r="I205" s="47"/>
      <c r="J205" s="47"/>
      <c r="K205" s="47"/>
      <c r="L205" s="47"/>
      <c r="M205" s="47">
        <v>11</v>
      </c>
      <c r="N205" s="194"/>
      <c r="O205" s="194"/>
      <c r="P205" s="194"/>
      <c r="Q205" s="194"/>
      <c r="R205" s="47"/>
      <c r="S205" s="194"/>
      <c r="T205" s="47"/>
      <c r="U205" s="194"/>
      <c r="V205" s="47"/>
      <c r="W205" s="194"/>
      <c r="X205" s="47">
        <v>10.5</v>
      </c>
      <c r="Y205" s="194"/>
      <c r="Z205" s="194"/>
      <c r="AA205" s="47"/>
      <c r="AB205" s="47"/>
      <c r="AC205" s="47"/>
      <c r="AD205" s="47"/>
      <c r="AE205" s="194"/>
      <c r="AF205" s="194"/>
      <c r="AG205" s="194"/>
      <c r="AI205" s="47"/>
      <c r="AJ205" s="223"/>
      <c r="AK205" s="47"/>
      <c r="AL205" s="47">
        <v>10.5</v>
      </c>
      <c r="AM205" s="47"/>
      <c r="AN205" s="47"/>
      <c r="AO205" s="47"/>
      <c r="AP205" s="194"/>
      <c r="AQ205" s="47">
        <v>11</v>
      </c>
      <c r="AR205" s="47">
        <v>11</v>
      </c>
      <c r="AS205" s="47"/>
      <c r="AT205" s="194">
        <v>11</v>
      </c>
      <c r="AU205" s="194"/>
      <c r="AV205" s="194"/>
      <c r="AW205" s="194"/>
      <c r="AX205" s="194"/>
      <c r="AY205" s="194">
        <v>11</v>
      </c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194"/>
      <c r="BL205" s="194">
        <v>11</v>
      </c>
      <c r="BM205" s="194"/>
      <c r="BN205" s="194">
        <v>10.5</v>
      </c>
      <c r="BO205" s="194">
        <v>10.5</v>
      </c>
      <c r="BP205" s="194"/>
      <c r="BQ205" s="47"/>
      <c r="BR205" s="194"/>
      <c r="BS205" s="47">
        <v>11</v>
      </c>
      <c r="BT205" s="47"/>
      <c r="BU205" s="47"/>
      <c r="BV205" s="47"/>
      <c r="BW205" s="47"/>
      <c r="BX205" s="194"/>
      <c r="BY205" s="194"/>
      <c r="BZ205" s="194">
        <v>10.5</v>
      </c>
      <c r="CA205" s="194"/>
      <c r="CB205" s="194"/>
      <c r="CC205" s="47"/>
      <c r="CD205" s="47"/>
      <c r="CE205" s="47"/>
      <c r="CF205" s="47"/>
      <c r="CG205" s="47">
        <v>11</v>
      </c>
      <c r="CH205" s="47"/>
      <c r="CI205" s="47"/>
      <c r="CJ205" s="47"/>
      <c r="CK205" s="224"/>
      <c r="CL205" s="194"/>
      <c r="CM205" s="47"/>
      <c r="CN205" s="47"/>
      <c r="CO205" s="47">
        <v>11.5</v>
      </c>
      <c r="CP205" s="47">
        <v>11.5</v>
      </c>
      <c r="CQ205" s="47">
        <v>10.199999999999999</v>
      </c>
      <c r="CR205" s="47"/>
      <c r="CS205" s="47"/>
      <c r="CT205" s="47"/>
      <c r="CU205" s="47"/>
      <c r="CV205" s="47">
        <v>11</v>
      </c>
      <c r="CW205" s="47"/>
      <c r="CX205" s="194">
        <v>11</v>
      </c>
      <c r="CY205" s="47">
        <v>11</v>
      </c>
      <c r="CZ205" s="47">
        <v>11</v>
      </c>
      <c r="DA205" s="47"/>
      <c r="DB205" s="47"/>
      <c r="DC205" s="47"/>
      <c r="DD205" s="47"/>
      <c r="DE205" s="47"/>
      <c r="DF205" s="47"/>
      <c r="DG205" s="47"/>
      <c r="DH205" s="47"/>
      <c r="DI205" s="47"/>
      <c r="DJ205" s="47"/>
      <c r="DK205" s="47"/>
      <c r="DL205" s="47"/>
      <c r="DM205" s="47"/>
      <c r="DN205" s="47"/>
      <c r="DO205" s="47"/>
      <c r="DP205" s="47"/>
      <c r="DQ205" s="47"/>
      <c r="DR205" s="47"/>
      <c r="DS205" s="47"/>
      <c r="DT205" s="47"/>
      <c r="DU205" s="47"/>
      <c r="DV205" s="47"/>
      <c r="DW205" s="198"/>
      <c r="DX205" s="47"/>
      <c r="DY205" s="194"/>
      <c r="DZ205" s="47"/>
      <c r="EA205" s="47"/>
      <c r="EB205" s="194"/>
      <c r="EC205" s="47"/>
      <c r="ED205" s="195"/>
      <c r="EE205" s="195"/>
      <c r="EF205" s="195"/>
      <c r="EG205" s="195"/>
      <c r="EH205" s="195">
        <v>15</v>
      </c>
      <c r="EI205" s="196">
        <f t="shared" si="12"/>
        <v>122.49999999999999</v>
      </c>
      <c r="EJ205" s="201">
        <f t="shared" si="13"/>
        <v>10.371666666666666</v>
      </c>
      <c r="EK205" s="202">
        <v>10</v>
      </c>
      <c r="FA205" s="251">
        <f t="shared" si="11"/>
        <v>8.1666666666666661</v>
      </c>
    </row>
    <row r="206" spans="1:157" s="1" customFormat="1" ht="20.149999999999999" customHeight="1" x14ac:dyDescent="0.35">
      <c r="A206" s="2"/>
      <c r="B206" s="189" t="s">
        <v>962</v>
      </c>
      <c r="C206" s="47" t="s">
        <v>182</v>
      </c>
      <c r="D206" s="2" t="s">
        <v>770</v>
      </c>
      <c r="E206" s="2" t="s">
        <v>697</v>
      </c>
      <c r="F206" s="48" t="s">
        <v>31</v>
      </c>
      <c r="G206" s="48" t="s">
        <v>37</v>
      </c>
      <c r="H206" s="328">
        <f>H204/30</f>
        <v>1.6333333333333333</v>
      </c>
      <c r="I206" s="47"/>
      <c r="J206" s="47"/>
      <c r="K206" s="47"/>
      <c r="L206" s="47"/>
      <c r="M206" s="47"/>
      <c r="N206" s="194"/>
      <c r="O206" s="194"/>
      <c r="P206" s="194"/>
      <c r="Q206" s="194"/>
      <c r="R206" s="47"/>
      <c r="S206" s="194"/>
      <c r="T206" s="47"/>
      <c r="U206" s="194"/>
      <c r="V206" s="47"/>
      <c r="W206" s="194"/>
      <c r="X206" s="47"/>
      <c r="Y206" s="194"/>
      <c r="Z206" s="194"/>
      <c r="AA206" s="47"/>
      <c r="AB206" s="47"/>
      <c r="AC206" s="47"/>
      <c r="AD206" s="47"/>
      <c r="AE206" s="194"/>
      <c r="AF206" s="194"/>
      <c r="AG206" s="194"/>
      <c r="AI206" s="47"/>
      <c r="AJ206" s="223"/>
      <c r="AK206" s="47"/>
      <c r="AL206" s="47"/>
      <c r="AM206" s="47"/>
      <c r="AN206" s="47"/>
      <c r="AO206" s="47"/>
      <c r="AP206" s="194"/>
      <c r="AQ206" s="47"/>
      <c r="AR206" s="47"/>
      <c r="AS206" s="47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194"/>
      <c r="BL206" s="194"/>
      <c r="BM206" s="194"/>
      <c r="BN206" s="194"/>
      <c r="BO206" s="194"/>
      <c r="BP206" s="194"/>
      <c r="BQ206" s="47"/>
      <c r="BR206" s="194"/>
      <c r="BS206" s="47"/>
      <c r="BT206" s="47"/>
      <c r="BU206" s="47"/>
      <c r="BV206" s="47"/>
      <c r="BW206" s="47"/>
      <c r="BX206" s="194"/>
      <c r="BY206" s="194"/>
      <c r="BZ206" s="194"/>
      <c r="CA206" s="194"/>
      <c r="CB206" s="194"/>
      <c r="CC206" s="47"/>
      <c r="CD206" s="47"/>
      <c r="CE206" s="47"/>
      <c r="CF206" s="47"/>
      <c r="CG206" s="47"/>
      <c r="CH206" s="47"/>
      <c r="CI206" s="47"/>
      <c r="CJ206" s="47"/>
      <c r="CK206" s="224"/>
      <c r="CL206" s="194"/>
      <c r="CM206" s="47"/>
      <c r="CN206" s="47"/>
      <c r="CO206" s="47"/>
      <c r="CP206" s="47"/>
      <c r="CQ206" s="47"/>
      <c r="CR206" s="47"/>
      <c r="CS206" s="47"/>
      <c r="CT206" s="47"/>
      <c r="CU206" s="47"/>
      <c r="CV206" s="47"/>
      <c r="CW206" s="47"/>
      <c r="CX206" s="194"/>
      <c r="CY206" s="47"/>
      <c r="CZ206" s="47"/>
      <c r="DA206" s="47"/>
      <c r="DB206" s="47"/>
      <c r="DC206" s="47"/>
      <c r="DD206" s="47"/>
      <c r="DE206" s="47"/>
      <c r="DF206" s="47"/>
      <c r="DG206" s="47"/>
      <c r="DH206" s="47"/>
      <c r="DI206" s="47"/>
      <c r="DJ206" s="47"/>
      <c r="DK206" s="47"/>
      <c r="DL206" s="47"/>
      <c r="DM206" s="47"/>
      <c r="DN206" s="47"/>
      <c r="DO206" s="47"/>
      <c r="DP206" s="47"/>
      <c r="DQ206" s="47"/>
      <c r="DR206" s="47"/>
      <c r="DS206" s="47"/>
      <c r="DT206" s="47"/>
      <c r="DU206" s="47">
        <v>2</v>
      </c>
      <c r="DV206" s="47"/>
      <c r="DW206" s="198"/>
      <c r="DX206" s="47"/>
      <c r="DY206" s="194"/>
      <c r="DZ206" s="47"/>
      <c r="EA206" s="47"/>
      <c r="EB206" s="194"/>
      <c r="EC206" s="47"/>
      <c r="ED206" s="195"/>
      <c r="EE206" s="195"/>
      <c r="EF206" s="195"/>
      <c r="EG206" s="195"/>
      <c r="EH206" s="195">
        <v>0</v>
      </c>
      <c r="EI206" s="196">
        <f t="shared" si="12"/>
        <v>0</v>
      </c>
      <c r="EJ206" s="201">
        <f t="shared" si="13"/>
        <v>2.0743333333333331</v>
      </c>
      <c r="EK206" s="202">
        <f>AVERAGE(I206:EC206)</f>
        <v>2</v>
      </c>
      <c r="FA206" s="251">
        <f t="shared" si="11"/>
        <v>1.6333333333333333</v>
      </c>
    </row>
    <row r="207" spans="1:157" s="1" customFormat="1" ht="20.149999999999999" customHeight="1" x14ac:dyDescent="0.35">
      <c r="A207" s="2"/>
      <c r="B207" s="189" t="s">
        <v>963</v>
      </c>
      <c r="C207" s="47" t="s">
        <v>182</v>
      </c>
      <c r="D207" s="2" t="s">
        <v>770</v>
      </c>
      <c r="E207" s="2" t="s">
        <v>697</v>
      </c>
      <c r="F207" s="48" t="s">
        <v>591</v>
      </c>
      <c r="G207" s="48" t="s">
        <v>37</v>
      </c>
      <c r="H207" s="328">
        <f>H206*2.5</f>
        <v>4.083333333333333</v>
      </c>
      <c r="I207" s="47"/>
      <c r="J207" s="47"/>
      <c r="K207" s="47"/>
      <c r="L207" s="47"/>
      <c r="M207" s="47"/>
      <c r="N207" s="194"/>
      <c r="O207" s="194"/>
      <c r="P207" s="194"/>
      <c r="Q207" s="194"/>
      <c r="R207" s="47"/>
      <c r="S207" s="194"/>
      <c r="T207" s="47"/>
      <c r="U207" s="194"/>
      <c r="V207" s="47"/>
      <c r="W207" s="194"/>
      <c r="X207" s="47"/>
      <c r="Y207" s="194"/>
      <c r="Z207" s="194"/>
      <c r="AA207" s="47"/>
      <c r="AB207" s="47"/>
      <c r="AC207" s="47"/>
      <c r="AD207" s="47"/>
      <c r="AE207" s="194"/>
      <c r="AF207" s="194"/>
      <c r="AG207" s="194"/>
      <c r="AI207" s="47"/>
      <c r="AJ207" s="223"/>
      <c r="AK207" s="47"/>
      <c r="AL207" s="47"/>
      <c r="AM207" s="47"/>
      <c r="AN207" s="47"/>
      <c r="AO207" s="47"/>
      <c r="AP207" s="194"/>
      <c r="AQ207" s="47"/>
      <c r="AR207" s="47"/>
      <c r="AS207" s="47"/>
      <c r="AT207" s="194"/>
      <c r="AU207" s="194"/>
      <c r="AV207" s="194"/>
      <c r="AW207" s="194"/>
      <c r="AX207" s="194"/>
      <c r="AY207" s="194"/>
      <c r="AZ207" s="194"/>
      <c r="BA207" s="194"/>
      <c r="BB207" s="194"/>
      <c r="BC207" s="194"/>
      <c r="BD207" s="194"/>
      <c r="BE207" s="194"/>
      <c r="BF207" s="194"/>
      <c r="BG207" s="194"/>
      <c r="BH207" s="194"/>
      <c r="BI207" s="194"/>
      <c r="BJ207" s="194"/>
      <c r="BK207" s="194"/>
      <c r="BL207" s="194"/>
      <c r="BM207" s="194"/>
      <c r="BN207" s="194"/>
      <c r="BO207" s="194"/>
      <c r="BP207" s="194"/>
      <c r="BQ207" s="47"/>
      <c r="BR207" s="194"/>
      <c r="BS207" s="47"/>
      <c r="BT207" s="47"/>
      <c r="BU207" s="47"/>
      <c r="BV207" s="47"/>
      <c r="BW207" s="47"/>
      <c r="BX207" s="194"/>
      <c r="BY207" s="194"/>
      <c r="BZ207" s="194"/>
      <c r="CA207" s="194"/>
      <c r="CB207" s="194"/>
      <c r="CC207" s="47"/>
      <c r="CD207" s="47"/>
      <c r="CE207" s="47"/>
      <c r="CF207" s="47"/>
      <c r="CG207" s="47"/>
      <c r="CH207" s="47"/>
      <c r="CI207" s="47"/>
      <c r="CJ207" s="47"/>
      <c r="CK207" s="224"/>
      <c r="CL207" s="194">
        <v>5.6</v>
      </c>
      <c r="CM207" s="47"/>
      <c r="CN207" s="47"/>
      <c r="CO207" s="47"/>
      <c r="CP207" s="47"/>
      <c r="CQ207" s="47"/>
      <c r="CR207" s="47"/>
      <c r="CS207" s="47"/>
      <c r="CT207" s="47"/>
      <c r="CU207" s="47"/>
      <c r="CV207" s="47"/>
      <c r="CW207" s="47"/>
      <c r="CX207" s="194"/>
      <c r="CY207" s="47"/>
      <c r="CZ207" s="47"/>
      <c r="DA207" s="47"/>
      <c r="DB207" s="47"/>
      <c r="DC207" s="47"/>
      <c r="DD207" s="47"/>
      <c r="DE207" s="47"/>
      <c r="DF207" s="47"/>
      <c r="DG207" s="47"/>
      <c r="DH207" s="47"/>
      <c r="DI207" s="47"/>
      <c r="DJ207" s="47"/>
      <c r="DK207" s="47"/>
      <c r="DL207" s="47"/>
      <c r="DM207" s="47"/>
      <c r="DN207" s="47"/>
      <c r="DO207" s="47"/>
      <c r="DP207" s="47"/>
      <c r="DQ207" s="47"/>
      <c r="DR207" s="47"/>
      <c r="DS207" s="47"/>
      <c r="DT207" s="47"/>
      <c r="DU207" s="47"/>
      <c r="DV207" s="47"/>
      <c r="DW207" s="198"/>
      <c r="DX207" s="47"/>
      <c r="DY207" s="194"/>
      <c r="DZ207" s="47"/>
      <c r="EA207" s="47"/>
      <c r="EB207" s="194"/>
      <c r="EC207" s="47"/>
      <c r="ED207" s="195"/>
      <c r="EE207" s="195"/>
      <c r="EF207" s="195"/>
      <c r="EG207" s="195"/>
      <c r="EH207" s="195">
        <v>1</v>
      </c>
      <c r="EI207" s="196">
        <f t="shared" si="12"/>
        <v>4.083333333333333</v>
      </c>
      <c r="EJ207" s="201">
        <f t="shared" si="13"/>
        <v>5.1858333333333331</v>
      </c>
      <c r="EK207" s="202">
        <f>AVERAGE(I207:EC207)</f>
        <v>5.6</v>
      </c>
      <c r="FA207" s="251">
        <f t="shared" si="11"/>
        <v>4.083333333333333</v>
      </c>
    </row>
    <row r="208" spans="1:157" s="1" customFormat="1" ht="20.149999999999999" customHeight="1" x14ac:dyDescent="0.35">
      <c r="A208" s="2"/>
      <c r="B208" s="189" t="s">
        <v>964</v>
      </c>
      <c r="C208" s="47" t="s">
        <v>183</v>
      </c>
      <c r="D208" s="2" t="s">
        <v>770</v>
      </c>
      <c r="E208" s="2" t="s">
        <v>697</v>
      </c>
      <c r="F208" s="48" t="s">
        <v>79</v>
      </c>
      <c r="G208" s="48" t="s">
        <v>37</v>
      </c>
      <c r="H208" s="328">
        <v>44.5</v>
      </c>
      <c r="I208" s="47"/>
      <c r="J208" s="47"/>
      <c r="K208" s="47"/>
      <c r="L208" s="47"/>
      <c r="M208" s="47"/>
      <c r="N208" s="194"/>
      <c r="O208" s="194"/>
      <c r="P208" s="194"/>
      <c r="Q208" s="194"/>
      <c r="R208" s="47"/>
      <c r="S208" s="194"/>
      <c r="T208" s="47"/>
      <c r="U208" s="194"/>
      <c r="V208" s="47"/>
      <c r="W208" s="194"/>
      <c r="X208" s="47"/>
      <c r="Y208" s="194"/>
      <c r="Z208" s="194"/>
      <c r="AA208" s="47"/>
      <c r="AB208" s="47"/>
      <c r="AC208" s="47"/>
      <c r="AD208" s="47"/>
      <c r="AE208" s="194"/>
      <c r="AF208" s="194"/>
      <c r="AG208" s="194"/>
      <c r="AI208" s="47"/>
      <c r="AJ208" s="223"/>
      <c r="AK208" s="47"/>
      <c r="AL208" s="47"/>
      <c r="AM208" s="47"/>
      <c r="AN208" s="47"/>
      <c r="AO208" s="47"/>
      <c r="AP208" s="194"/>
      <c r="AQ208" s="47"/>
      <c r="AR208" s="47"/>
      <c r="AS208" s="47"/>
      <c r="AT208" s="194"/>
      <c r="AU208" s="194"/>
      <c r="AV208" s="194"/>
      <c r="AW208" s="194"/>
      <c r="AX208" s="194"/>
      <c r="AY208" s="194"/>
      <c r="AZ208" s="194"/>
      <c r="BA208" s="194"/>
      <c r="BB208" s="194"/>
      <c r="BC208" s="194"/>
      <c r="BD208" s="194"/>
      <c r="BE208" s="194"/>
      <c r="BF208" s="194"/>
      <c r="BG208" s="194"/>
      <c r="BH208" s="194"/>
      <c r="BI208" s="194"/>
      <c r="BJ208" s="194"/>
      <c r="BK208" s="194"/>
      <c r="BL208" s="194"/>
      <c r="BM208" s="194"/>
      <c r="BN208" s="194"/>
      <c r="BO208" s="194"/>
      <c r="BP208" s="194"/>
      <c r="BQ208" s="47"/>
      <c r="BR208" s="194"/>
      <c r="BS208" s="47"/>
      <c r="BT208" s="47"/>
      <c r="BU208" s="47"/>
      <c r="BV208" s="47"/>
      <c r="BW208" s="47"/>
      <c r="BX208" s="194"/>
      <c r="BY208" s="194"/>
      <c r="BZ208" s="194"/>
      <c r="CA208" s="194"/>
      <c r="CB208" s="194"/>
      <c r="CC208" s="47"/>
      <c r="CD208" s="47"/>
      <c r="CE208" s="47"/>
      <c r="CF208" s="47"/>
      <c r="CG208" s="47"/>
      <c r="CH208" s="47"/>
      <c r="CI208" s="47"/>
      <c r="CJ208" s="47"/>
      <c r="CK208" s="224"/>
      <c r="CL208" s="194"/>
      <c r="CM208" s="47"/>
      <c r="CN208" s="47"/>
      <c r="CO208" s="47"/>
      <c r="CP208" s="47"/>
      <c r="CQ208" s="47"/>
      <c r="CR208" s="47"/>
      <c r="CS208" s="47"/>
      <c r="CT208" s="47"/>
      <c r="CU208" s="47"/>
      <c r="CV208" s="47"/>
      <c r="CW208" s="47"/>
      <c r="CX208" s="194"/>
      <c r="CY208" s="47"/>
      <c r="CZ208" s="47"/>
      <c r="DA208" s="47"/>
      <c r="DB208" s="47"/>
      <c r="DC208" s="47"/>
      <c r="DD208" s="47"/>
      <c r="DE208" s="47"/>
      <c r="DF208" s="47"/>
      <c r="DG208" s="47"/>
      <c r="DH208" s="47"/>
      <c r="DI208" s="47"/>
      <c r="DJ208" s="47"/>
      <c r="DK208" s="47"/>
      <c r="DL208" s="47"/>
      <c r="DM208" s="47"/>
      <c r="DN208" s="47"/>
      <c r="DO208" s="47"/>
      <c r="DP208" s="47"/>
      <c r="DQ208" s="47"/>
      <c r="DR208" s="47"/>
      <c r="DS208" s="47"/>
      <c r="DT208" s="47"/>
      <c r="DU208" s="47"/>
      <c r="DV208" s="47"/>
      <c r="DW208" s="198"/>
      <c r="DX208" s="47"/>
      <c r="DY208" s="194"/>
      <c r="DZ208" s="47"/>
      <c r="EA208" s="47"/>
      <c r="EB208" s="194"/>
      <c r="EC208" s="47"/>
      <c r="ED208" s="195"/>
      <c r="EE208" s="195"/>
      <c r="EF208" s="195"/>
      <c r="EG208" s="195"/>
      <c r="EH208" s="195">
        <v>8</v>
      </c>
      <c r="EI208" s="196">
        <f t="shared" si="12"/>
        <v>356</v>
      </c>
      <c r="EJ208" s="201">
        <f t="shared" si="13"/>
        <v>56.515000000000001</v>
      </c>
      <c r="EK208" s="202">
        <v>0</v>
      </c>
      <c r="FA208" s="251">
        <f t="shared" si="11"/>
        <v>44.5</v>
      </c>
    </row>
    <row r="209" spans="1:157" s="1" customFormat="1" ht="20.149999999999999" customHeight="1" x14ac:dyDescent="0.35">
      <c r="A209" s="2"/>
      <c r="B209" s="189" t="s">
        <v>965</v>
      </c>
      <c r="C209" s="47" t="s">
        <v>183</v>
      </c>
      <c r="D209" s="2" t="s">
        <v>770</v>
      </c>
      <c r="E209" s="2" t="s">
        <v>697</v>
      </c>
      <c r="F209" s="48" t="s">
        <v>48</v>
      </c>
      <c r="G209" s="48" t="s">
        <v>37</v>
      </c>
      <c r="H209" s="328">
        <f>H208/30*5</f>
        <v>7.416666666666667</v>
      </c>
      <c r="I209" s="47"/>
      <c r="J209" s="47"/>
      <c r="K209" s="47"/>
      <c r="L209" s="47"/>
      <c r="M209" s="47">
        <v>10.6</v>
      </c>
      <c r="N209" s="194"/>
      <c r="O209" s="194"/>
      <c r="P209" s="194"/>
      <c r="Q209" s="194"/>
      <c r="R209" s="47"/>
      <c r="S209" s="194"/>
      <c r="T209" s="47"/>
      <c r="U209" s="194"/>
      <c r="V209" s="47"/>
      <c r="W209" s="194"/>
      <c r="X209" s="47">
        <v>10.5</v>
      </c>
      <c r="Y209" s="194"/>
      <c r="Z209" s="194"/>
      <c r="AA209" s="47"/>
      <c r="AB209" s="47">
        <v>10.5</v>
      </c>
      <c r="AC209" s="47"/>
      <c r="AD209" s="47"/>
      <c r="AE209" s="194"/>
      <c r="AF209" s="194"/>
      <c r="AG209" s="194"/>
      <c r="AI209" s="47"/>
      <c r="AJ209" s="223"/>
      <c r="AK209" s="47"/>
      <c r="AL209" s="47">
        <v>11</v>
      </c>
      <c r="AM209" s="47"/>
      <c r="AN209" s="47"/>
      <c r="AO209" s="47"/>
      <c r="AP209" s="194"/>
      <c r="AQ209" s="47">
        <v>10.5</v>
      </c>
      <c r="AR209" s="47">
        <v>10.8</v>
      </c>
      <c r="AS209" s="47">
        <v>10.8</v>
      </c>
      <c r="AT209" s="194">
        <v>10.8</v>
      </c>
      <c r="AU209" s="194"/>
      <c r="AV209" s="194"/>
      <c r="AW209" s="194"/>
      <c r="AX209" s="194"/>
      <c r="AY209" s="194">
        <v>10.5</v>
      </c>
      <c r="AZ209" s="194"/>
      <c r="BA209" s="194"/>
      <c r="BB209" s="194"/>
      <c r="BC209" s="194"/>
      <c r="BD209" s="194"/>
      <c r="BE209" s="194"/>
      <c r="BF209" s="194"/>
      <c r="BG209" s="194">
        <v>10</v>
      </c>
      <c r="BH209" s="194"/>
      <c r="BI209" s="194"/>
      <c r="BJ209" s="194"/>
      <c r="BK209" s="194"/>
      <c r="BL209" s="194">
        <v>11</v>
      </c>
      <c r="BM209" s="194">
        <v>10.5</v>
      </c>
      <c r="BN209" s="194">
        <v>10</v>
      </c>
      <c r="BO209" s="194">
        <v>11</v>
      </c>
      <c r="BP209" s="194"/>
      <c r="BQ209" s="47"/>
      <c r="BR209" s="194"/>
      <c r="BS209" s="47">
        <v>10.5</v>
      </c>
      <c r="BT209" s="47"/>
      <c r="BU209" s="47"/>
      <c r="BV209" s="47"/>
      <c r="BW209" s="47"/>
      <c r="BX209" s="194"/>
      <c r="BY209" s="194"/>
      <c r="BZ209" s="194">
        <v>10.5</v>
      </c>
      <c r="CA209" s="194"/>
      <c r="CB209" s="194"/>
      <c r="CC209" s="47"/>
      <c r="CD209" s="47"/>
      <c r="CE209" s="47"/>
      <c r="CF209" s="47"/>
      <c r="CG209" s="47">
        <v>10.5</v>
      </c>
      <c r="CH209" s="47"/>
      <c r="CI209" s="47">
        <v>10.5</v>
      </c>
      <c r="CJ209" s="47"/>
      <c r="CK209" s="224"/>
      <c r="CL209" s="194"/>
      <c r="CM209" s="47"/>
      <c r="CN209" s="47"/>
      <c r="CO209" s="47">
        <v>10.5</v>
      </c>
      <c r="CP209" s="47">
        <v>10.5</v>
      </c>
      <c r="CQ209" s="47">
        <v>10</v>
      </c>
      <c r="CR209" s="47"/>
      <c r="CS209" s="198">
        <v>10.5</v>
      </c>
      <c r="CT209" s="47"/>
      <c r="CU209" s="47"/>
      <c r="CV209" s="47">
        <v>10.8</v>
      </c>
      <c r="CW209" s="47"/>
      <c r="CX209" s="194">
        <v>10.5</v>
      </c>
      <c r="CY209" s="47">
        <v>11</v>
      </c>
      <c r="CZ209" s="47">
        <v>10.5</v>
      </c>
      <c r="DA209" s="47"/>
      <c r="DB209" s="47"/>
      <c r="DC209" s="47"/>
      <c r="DD209" s="47"/>
      <c r="DE209" s="47"/>
      <c r="DF209" s="47"/>
      <c r="DG209" s="47"/>
      <c r="DH209" s="47"/>
      <c r="DI209" s="47"/>
      <c r="DJ209" s="47"/>
      <c r="DK209" s="47"/>
      <c r="DL209" s="47"/>
      <c r="DM209" s="47"/>
      <c r="DN209" s="47"/>
      <c r="DO209" s="47"/>
      <c r="DP209" s="47"/>
      <c r="DQ209" s="47"/>
      <c r="DR209" s="47"/>
      <c r="DS209" s="47"/>
      <c r="DT209" s="47"/>
      <c r="DU209" s="47"/>
      <c r="DV209" s="47"/>
      <c r="DW209" s="198"/>
      <c r="DX209" s="47"/>
      <c r="DY209" s="194"/>
      <c r="DZ209" s="47"/>
      <c r="EA209" s="47"/>
      <c r="EB209" s="194"/>
      <c r="EC209" s="47"/>
      <c r="ED209" s="195"/>
      <c r="EE209" s="195"/>
      <c r="EF209" s="195"/>
      <c r="EG209" s="195"/>
      <c r="EH209" s="195">
        <v>14</v>
      </c>
      <c r="EI209" s="196">
        <f t="shared" si="12"/>
        <v>103.83333333333334</v>
      </c>
      <c r="EJ209" s="201">
        <f t="shared" si="13"/>
        <v>9.4191666666666674</v>
      </c>
      <c r="EK209" s="202">
        <v>10</v>
      </c>
      <c r="FA209" s="251">
        <f t="shared" si="11"/>
        <v>7.416666666666667</v>
      </c>
    </row>
    <row r="210" spans="1:157" s="1" customFormat="1" ht="20.149999999999999" customHeight="1" x14ac:dyDescent="0.35">
      <c r="A210" s="2"/>
      <c r="B210" s="189" t="s">
        <v>966</v>
      </c>
      <c r="C210" s="47" t="s">
        <v>183</v>
      </c>
      <c r="D210" s="2" t="s">
        <v>770</v>
      </c>
      <c r="E210" s="2" t="s">
        <v>697</v>
      </c>
      <c r="F210" s="48" t="s">
        <v>31</v>
      </c>
      <c r="G210" s="48" t="s">
        <v>37</v>
      </c>
      <c r="H210" s="328">
        <f>H208/30</f>
        <v>1.4833333333333334</v>
      </c>
      <c r="I210" s="47"/>
      <c r="J210" s="47"/>
      <c r="K210" s="47"/>
      <c r="L210" s="47"/>
      <c r="M210" s="47"/>
      <c r="N210" s="194"/>
      <c r="O210" s="194"/>
      <c r="P210" s="194"/>
      <c r="Q210" s="194"/>
      <c r="R210" s="47"/>
      <c r="S210" s="194"/>
      <c r="T210" s="47"/>
      <c r="U210" s="194"/>
      <c r="V210" s="47"/>
      <c r="W210" s="194"/>
      <c r="X210" s="47"/>
      <c r="Y210" s="194"/>
      <c r="Z210" s="194"/>
      <c r="AA210" s="47"/>
      <c r="AB210" s="47"/>
      <c r="AC210" s="47"/>
      <c r="AD210" s="47"/>
      <c r="AE210" s="194"/>
      <c r="AF210" s="194"/>
      <c r="AG210" s="194"/>
      <c r="AI210" s="47"/>
      <c r="AJ210" s="223"/>
      <c r="AK210" s="47"/>
      <c r="AL210" s="47"/>
      <c r="AM210" s="47"/>
      <c r="AN210" s="47"/>
      <c r="AO210" s="47"/>
      <c r="AP210" s="194"/>
      <c r="AQ210" s="47"/>
      <c r="AR210" s="47"/>
      <c r="AS210" s="47"/>
      <c r="AT210" s="194"/>
      <c r="AU210" s="194"/>
      <c r="AV210" s="194"/>
      <c r="AW210" s="194"/>
      <c r="AX210" s="194"/>
      <c r="AY210" s="194"/>
      <c r="AZ210" s="194"/>
      <c r="BA210" s="194"/>
      <c r="BB210" s="194"/>
      <c r="BC210" s="194"/>
      <c r="BD210" s="194"/>
      <c r="BE210" s="194"/>
      <c r="BF210" s="194"/>
      <c r="BG210" s="194"/>
      <c r="BH210" s="194"/>
      <c r="BI210" s="194"/>
      <c r="BJ210" s="194"/>
      <c r="BK210" s="194"/>
      <c r="BL210" s="194"/>
      <c r="BM210" s="194"/>
      <c r="BN210" s="194"/>
      <c r="BO210" s="194"/>
      <c r="BP210" s="194"/>
      <c r="BQ210" s="47"/>
      <c r="BR210" s="194"/>
      <c r="BS210" s="47"/>
      <c r="BT210" s="47"/>
      <c r="BU210" s="47"/>
      <c r="BV210" s="47"/>
      <c r="BW210" s="47"/>
      <c r="BX210" s="194"/>
      <c r="BY210" s="194"/>
      <c r="BZ210" s="194"/>
      <c r="CA210" s="194"/>
      <c r="CB210" s="194"/>
      <c r="CC210" s="47"/>
      <c r="CD210" s="47">
        <v>2</v>
      </c>
      <c r="CE210" s="47"/>
      <c r="CF210" s="47"/>
      <c r="CG210" s="47"/>
      <c r="CH210" s="47"/>
      <c r="CI210" s="47"/>
      <c r="CJ210" s="47"/>
      <c r="CK210" s="224"/>
      <c r="CL210" s="194">
        <v>2.1</v>
      </c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>
        <v>2</v>
      </c>
      <c r="CX210" s="194"/>
      <c r="CY210" s="47"/>
      <c r="CZ210" s="47"/>
      <c r="DA210" s="47">
        <v>2</v>
      </c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>
        <v>2</v>
      </c>
      <c r="DV210" s="47"/>
      <c r="DW210" s="198"/>
      <c r="DX210" s="47"/>
      <c r="DY210" s="194"/>
      <c r="DZ210" s="47"/>
      <c r="EA210" s="47"/>
      <c r="EB210" s="194"/>
      <c r="EC210" s="47"/>
      <c r="ED210" s="195"/>
      <c r="EE210" s="195"/>
      <c r="EF210" s="195"/>
      <c r="EG210" s="195">
        <v>2.2999999999999998</v>
      </c>
      <c r="EH210" s="195">
        <v>5</v>
      </c>
      <c r="EI210" s="196">
        <f t="shared" si="12"/>
        <v>7.416666666666667</v>
      </c>
      <c r="EJ210" s="201">
        <f t="shared" si="13"/>
        <v>1.8838333333333335</v>
      </c>
      <c r="EK210" s="202">
        <f>AVERAGE(I210:EC210)</f>
        <v>2.02</v>
      </c>
      <c r="FA210" s="251">
        <f t="shared" si="11"/>
        <v>1.4833333333333334</v>
      </c>
    </row>
    <row r="211" spans="1:157" s="1" customFormat="1" ht="20.149999999999999" customHeight="1" x14ac:dyDescent="0.35">
      <c r="A211" s="2"/>
      <c r="B211" s="189" t="s">
        <v>967</v>
      </c>
      <c r="C211" s="47" t="s">
        <v>184</v>
      </c>
      <c r="D211" s="2" t="s">
        <v>770</v>
      </c>
      <c r="E211" s="2" t="s">
        <v>699</v>
      </c>
      <c r="F211" s="48" t="s">
        <v>807</v>
      </c>
      <c r="G211" s="48" t="s">
        <v>32</v>
      </c>
      <c r="H211" s="328">
        <f>H212*15</f>
        <v>132</v>
      </c>
      <c r="I211" s="47"/>
      <c r="J211" s="47"/>
      <c r="K211" s="47"/>
      <c r="L211" s="47"/>
      <c r="M211" s="47"/>
      <c r="N211" s="194"/>
      <c r="O211" s="194"/>
      <c r="P211" s="194"/>
      <c r="Q211" s="194"/>
      <c r="R211" s="47"/>
      <c r="S211" s="194"/>
      <c r="T211" s="47"/>
      <c r="U211" s="194"/>
      <c r="V211" s="47"/>
      <c r="W211" s="194"/>
      <c r="X211" s="47"/>
      <c r="Y211" s="194"/>
      <c r="Z211" s="194"/>
      <c r="AA211" s="47"/>
      <c r="AB211" s="47"/>
      <c r="AC211" s="47"/>
      <c r="AD211" s="47"/>
      <c r="AE211" s="194"/>
      <c r="AF211" s="194"/>
      <c r="AG211" s="194"/>
      <c r="AI211" s="47"/>
      <c r="AJ211" s="223"/>
      <c r="AK211" s="47"/>
      <c r="AL211" s="47"/>
      <c r="AM211" s="47"/>
      <c r="AN211" s="47"/>
      <c r="AO211" s="47"/>
      <c r="AP211" s="194"/>
      <c r="AQ211" s="194"/>
      <c r="AR211" s="47"/>
      <c r="AS211" s="47"/>
      <c r="AT211" s="194"/>
      <c r="AU211" s="194"/>
      <c r="AV211" s="194"/>
      <c r="AW211" s="194"/>
      <c r="AX211" s="194"/>
      <c r="AY211" s="194"/>
      <c r="AZ211" s="194"/>
      <c r="BA211" s="194"/>
      <c r="BB211" s="194"/>
      <c r="BC211" s="194"/>
      <c r="BD211" s="194"/>
      <c r="BE211" s="194"/>
      <c r="BF211" s="194"/>
      <c r="BG211" s="194"/>
      <c r="BH211" s="194"/>
      <c r="BI211" s="194"/>
      <c r="BJ211" s="194"/>
      <c r="BK211" s="194"/>
      <c r="BL211" s="194"/>
      <c r="BM211" s="194"/>
      <c r="BN211" s="194"/>
      <c r="BO211" s="194"/>
      <c r="BP211" s="194"/>
      <c r="BQ211" s="47"/>
      <c r="BR211" s="194"/>
      <c r="BS211" s="47"/>
      <c r="BT211" s="47"/>
      <c r="BU211" s="47"/>
      <c r="BV211" s="47"/>
      <c r="BW211" s="47"/>
      <c r="BX211" s="194"/>
      <c r="BY211" s="194"/>
      <c r="BZ211" s="194"/>
      <c r="CA211" s="194"/>
      <c r="CB211" s="194"/>
      <c r="CC211" s="47"/>
      <c r="CD211" s="194"/>
      <c r="CE211" s="47"/>
      <c r="CF211" s="47"/>
      <c r="CG211" s="47"/>
      <c r="CH211" s="47"/>
      <c r="CI211" s="47"/>
      <c r="CJ211" s="47"/>
      <c r="CK211" s="224"/>
      <c r="CL211" s="194"/>
      <c r="CM211" s="47"/>
      <c r="CN211" s="47"/>
      <c r="CO211" s="47"/>
      <c r="CP211" s="47">
        <v>160</v>
      </c>
      <c r="CQ211" s="47"/>
      <c r="CR211" s="47"/>
      <c r="CS211" s="198"/>
      <c r="CT211" s="47"/>
      <c r="CU211" s="47"/>
      <c r="CV211" s="47"/>
      <c r="CW211" s="47"/>
      <c r="CX211" s="194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198"/>
      <c r="DX211" s="47"/>
      <c r="DY211" s="194"/>
      <c r="DZ211" s="47"/>
      <c r="EA211" s="47"/>
      <c r="EB211" s="194"/>
      <c r="EC211" s="47"/>
      <c r="ED211" s="195"/>
      <c r="EE211" s="195"/>
      <c r="EF211" s="195"/>
      <c r="EG211" s="195"/>
      <c r="EH211" s="195">
        <v>3</v>
      </c>
      <c r="EI211" s="196">
        <f t="shared" si="12"/>
        <v>396</v>
      </c>
      <c r="EJ211" s="201">
        <f t="shared" si="13"/>
        <v>167.64000000000001</v>
      </c>
      <c r="EK211" s="202">
        <f>AVERAGE(I211:EC211)</f>
        <v>160</v>
      </c>
      <c r="FA211" s="251">
        <f t="shared" si="11"/>
        <v>132</v>
      </c>
    </row>
    <row r="212" spans="1:157" s="1" customFormat="1" ht="20.149999999999999" customHeight="1" x14ac:dyDescent="0.35">
      <c r="A212" s="2"/>
      <c r="B212" s="189" t="s">
        <v>968</v>
      </c>
      <c r="C212" s="47" t="s">
        <v>184</v>
      </c>
      <c r="D212" s="2" t="s">
        <v>770</v>
      </c>
      <c r="E212" s="2" t="s">
        <v>699</v>
      </c>
      <c r="F212" s="48" t="s">
        <v>31</v>
      </c>
      <c r="G212" s="48" t="s">
        <v>37</v>
      </c>
      <c r="H212" s="328">
        <v>8.8000000000000007</v>
      </c>
      <c r="I212" s="47"/>
      <c r="J212" s="47"/>
      <c r="K212" s="47"/>
      <c r="L212" s="47">
        <v>13</v>
      </c>
      <c r="M212" s="47"/>
      <c r="N212" s="194"/>
      <c r="O212" s="194"/>
      <c r="P212" s="194"/>
      <c r="Q212" s="194"/>
      <c r="R212" s="194">
        <v>12</v>
      </c>
      <c r="S212" s="194">
        <v>13</v>
      </c>
      <c r="T212" s="47"/>
      <c r="U212" s="194"/>
      <c r="V212" s="47"/>
      <c r="W212" s="194"/>
      <c r="X212" s="47">
        <v>13</v>
      </c>
      <c r="Y212" s="194"/>
      <c r="Z212" s="194"/>
      <c r="AA212" s="47"/>
      <c r="AB212" s="47">
        <v>13</v>
      </c>
      <c r="AC212" s="47"/>
      <c r="AD212" s="47"/>
      <c r="AE212" s="194"/>
      <c r="AF212" s="194">
        <v>13</v>
      </c>
      <c r="AG212" s="194">
        <v>13</v>
      </c>
      <c r="AI212" s="47"/>
      <c r="AJ212" s="223"/>
      <c r="AK212" s="47"/>
      <c r="AL212" s="47"/>
      <c r="AM212" s="47"/>
      <c r="AN212" s="47"/>
      <c r="AO212" s="47"/>
      <c r="AP212" s="194">
        <v>12</v>
      </c>
      <c r="AQ212" s="194">
        <v>13</v>
      </c>
      <c r="AR212" s="47">
        <v>13</v>
      </c>
      <c r="AS212" s="47"/>
      <c r="AT212" s="194">
        <v>13</v>
      </c>
      <c r="AU212" s="194"/>
      <c r="AV212" s="194"/>
      <c r="AW212" s="194"/>
      <c r="AX212" s="194"/>
      <c r="AY212" s="194">
        <v>13</v>
      </c>
      <c r="AZ212" s="194"/>
      <c r="BA212" s="194"/>
      <c r="BB212" s="194"/>
      <c r="BC212" s="194"/>
      <c r="BD212" s="194"/>
      <c r="BE212" s="194"/>
      <c r="BF212" s="194"/>
      <c r="BG212" s="194"/>
      <c r="BH212" s="194"/>
      <c r="BI212" s="194"/>
      <c r="BJ212" s="194"/>
      <c r="BK212" s="194"/>
      <c r="BL212" s="194"/>
      <c r="BM212" s="194">
        <v>13</v>
      </c>
      <c r="BN212" s="194"/>
      <c r="BO212" s="194"/>
      <c r="BP212" s="194"/>
      <c r="BQ212" s="47"/>
      <c r="BR212" s="194"/>
      <c r="BS212" s="47">
        <v>13</v>
      </c>
      <c r="BT212" s="47"/>
      <c r="BU212" s="47"/>
      <c r="BV212" s="47"/>
      <c r="BW212" s="47">
        <v>12</v>
      </c>
      <c r="BX212" s="194"/>
      <c r="BY212" s="194"/>
      <c r="BZ212" s="194">
        <v>12</v>
      </c>
      <c r="CA212" s="194"/>
      <c r="CB212" s="194"/>
      <c r="CC212" s="47"/>
      <c r="CD212" s="194">
        <v>12</v>
      </c>
      <c r="CE212" s="47"/>
      <c r="CF212" s="47"/>
      <c r="CG212" s="47"/>
      <c r="CH212" s="47"/>
      <c r="CI212" s="47"/>
      <c r="CJ212" s="47"/>
      <c r="CK212" s="224"/>
      <c r="CL212" s="194">
        <v>12.5</v>
      </c>
      <c r="CM212" s="47"/>
      <c r="CN212" s="47"/>
      <c r="CO212" s="47"/>
      <c r="CP212" s="47">
        <v>13</v>
      </c>
      <c r="CQ212" s="47">
        <v>12</v>
      </c>
      <c r="CR212" s="47"/>
      <c r="CS212" s="198">
        <v>13</v>
      </c>
      <c r="CT212" s="47"/>
      <c r="CU212" s="47"/>
      <c r="CV212" s="47">
        <v>13</v>
      </c>
      <c r="CW212" s="47"/>
      <c r="CX212" s="194">
        <v>0</v>
      </c>
      <c r="CY212" s="47"/>
      <c r="CZ212" s="47">
        <v>12</v>
      </c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>
        <v>12</v>
      </c>
      <c r="DO212" s="47"/>
      <c r="DP212" s="47"/>
      <c r="DQ212" s="47"/>
      <c r="DR212" s="47"/>
      <c r="DS212" s="47"/>
      <c r="DT212" s="47"/>
      <c r="DU212" s="47">
        <v>10</v>
      </c>
      <c r="DV212" s="47"/>
      <c r="DW212" s="198"/>
      <c r="DX212" s="47"/>
      <c r="DY212" s="194"/>
      <c r="DZ212" s="47"/>
      <c r="EA212" s="47"/>
      <c r="EB212" s="194"/>
      <c r="EC212" s="47"/>
      <c r="ED212" s="195"/>
      <c r="EE212" s="195"/>
      <c r="EF212" s="195"/>
      <c r="EG212" s="195"/>
      <c r="EH212" s="195">
        <v>91</v>
      </c>
      <c r="EI212" s="196">
        <f t="shared" si="12"/>
        <v>800.80000000000007</v>
      </c>
      <c r="EJ212" s="201">
        <f t="shared" si="13"/>
        <v>11.176000000000002</v>
      </c>
      <c r="EK212" s="202">
        <v>12</v>
      </c>
      <c r="FA212" s="251">
        <f t="shared" si="11"/>
        <v>8.8000000000000007</v>
      </c>
    </row>
    <row r="213" spans="1:157" s="1" customFormat="1" ht="20.149999999999999" customHeight="1" x14ac:dyDescent="0.35">
      <c r="A213" s="2"/>
      <c r="B213" s="189" t="s">
        <v>969</v>
      </c>
      <c r="C213" s="47" t="s">
        <v>184</v>
      </c>
      <c r="D213" s="2" t="s">
        <v>637</v>
      </c>
      <c r="E213" s="2" t="s">
        <v>363</v>
      </c>
      <c r="F213" s="48" t="s">
        <v>808</v>
      </c>
      <c r="G213" s="48" t="s">
        <v>32</v>
      </c>
      <c r="H213" s="328">
        <f>H214*10</f>
        <v>98</v>
      </c>
      <c r="I213" s="47"/>
      <c r="J213" s="47"/>
      <c r="K213" s="47"/>
      <c r="L213" s="47"/>
      <c r="M213" s="47"/>
      <c r="N213" s="194"/>
      <c r="O213" s="194"/>
      <c r="P213" s="194"/>
      <c r="Q213" s="194"/>
      <c r="R213" s="47"/>
      <c r="S213" s="194"/>
      <c r="T213" s="47"/>
      <c r="U213" s="194"/>
      <c r="V213" s="47"/>
      <c r="W213" s="194"/>
      <c r="X213" s="47"/>
      <c r="Y213" s="194"/>
      <c r="Z213" s="194"/>
      <c r="AA213" s="47"/>
      <c r="AB213" s="47"/>
      <c r="AC213" s="47"/>
      <c r="AD213" s="47"/>
      <c r="AE213" s="194"/>
      <c r="AF213" s="194"/>
      <c r="AG213" s="194"/>
      <c r="AI213" s="47"/>
      <c r="AJ213" s="223"/>
      <c r="AK213" s="47"/>
      <c r="AL213" s="47"/>
      <c r="AM213" s="47"/>
      <c r="AN213" s="47"/>
      <c r="AO213" s="47"/>
      <c r="AP213" s="194"/>
      <c r="AQ213" s="47"/>
      <c r="AR213" s="47"/>
      <c r="AS213" s="47"/>
      <c r="AT213" s="194"/>
      <c r="AU213" s="194"/>
      <c r="AV213" s="194"/>
      <c r="AW213" s="194"/>
      <c r="AX213" s="194"/>
      <c r="AY213" s="194"/>
      <c r="AZ213" s="194"/>
      <c r="BA213" s="194"/>
      <c r="BB213" s="194"/>
      <c r="BC213" s="194"/>
      <c r="BD213" s="194"/>
      <c r="BE213" s="194"/>
      <c r="BF213" s="194"/>
      <c r="BG213" s="194"/>
      <c r="BH213" s="194"/>
      <c r="BI213" s="194"/>
      <c r="BJ213" s="194"/>
      <c r="BK213" s="194"/>
      <c r="BL213" s="194"/>
      <c r="BM213" s="194"/>
      <c r="BN213" s="194"/>
      <c r="BO213" s="194"/>
      <c r="BP213" s="194"/>
      <c r="BQ213" s="47"/>
      <c r="BR213" s="194"/>
      <c r="BS213" s="47"/>
      <c r="BT213" s="47"/>
      <c r="BU213" s="47"/>
      <c r="BV213" s="47"/>
      <c r="BW213" s="47"/>
      <c r="BX213" s="194"/>
      <c r="BY213" s="194"/>
      <c r="BZ213" s="194"/>
      <c r="CA213" s="194"/>
      <c r="CB213" s="194"/>
      <c r="CC213" s="47"/>
      <c r="CD213" s="47"/>
      <c r="CE213" s="47"/>
      <c r="CF213" s="47"/>
      <c r="CG213" s="47"/>
      <c r="CH213" s="47"/>
      <c r="CI213" s="47"/>
      <c r="CJ213" s="47"/>
      <c r="CK213" s="224"/>
      <c r="CL213" s="194"/>
      <c r="CM213" s="47"/>
      <c r="CN213" s="47"/>
      <c r="CO213" s="47"/>
      <c r="CP213" s="47"/>
      <c r="CQ213" s="47"/>
      <c r="CR213" s="47"/>
      <c r="CS213" s="47"/>
      <c r="CT213" s="47"/>
      <c r="CU213" s="47"/>
      <c r="CV213" s="47"/>
      <c r="CW213" s="47"/>
      <c r="CX213" s="194"/>
      <c r="CY213" s="47"/>
      <c r="CZ213" s="47"/>
      <c r="DA213" s="47"/>
      <c r="DB213" s="47"/>
      <c r="DC213" s="47"/>
      <c r="DD213" s="47"/>
      <c r="DE213" s="47"/>
      <c r="DF213" s="47"/>
      <c r="DG213" s="47"/>
      <c r="DH213" s="47"/>
      <c r="DI213" s="47"/>
      <c r="DJ213" s="47"/>
      <c r="DK213" s="47"/>
      <c r="DL213" s="47"/>
      <c r="DM213" s="47"/>
      <c r="DN213" s="47"/>
      <c r="DO213" s="47"/>
      <c r="DP213" s="47"/>
      <c r="DQ213" s="47"/>
      <c r="DR213" s="47"/>
      <c r="DS213" s="47"/>
      <c r="DT213" s="47"/>
      <c r="DU213" s="47"/>
      <c r="DV213" s="47"/>
      <c r="DW213" s="198"/>
      <c r="DX213" s="47"/>
      <c r="DY213" s="194"/>
      <c r="DZ213" s="47"/>
      <c r="EA213" s="47"/>
      <c r="EB213" s="194"/>
      <c r="EC213" s="47"/>
      <c r="ED213" s="195"/>
      <c r="EE213" s="195"/>
      <c r="EF213" s="195"/>
      <c r="EG213" s="195"/>
      <c r="EH213" s="195">
        <v>6</v>
      </c>
      <c r="EI213" s="196">
        <f t="shared" si="12"/>
        <v>588</v>
      </c>
      <c r="EJ213" s="201">
        <f t="shared" si="13"/>
        <v>124.46000000000001</v>
      </c>
      <c r="EK213" s="202" t="e">
        <f>AVERAGE(I213:EC213)</f>
        <v>#DIV/0!</v>
      </c>
      <c r="FA213" s="251">
        <f t="shared" ref="FA213:FA284" si="14">H213</f>
        <v>98</v>
      </c>
    </row>
    <row r="214" spans="1:157" s="1" customFormat="1" ht="20.149999999999999" customHeight="1" x14ac:dyDescent="0.35">
      <c r="A214" s="2"/>
      <c r="B214" s="189" t="s">
        <v>970</v>
      </c>
      <c r="C214" s="47" t="s">
        <v>184</v>
      </c>
      <c r="D214" s="2" t="s">
        <v>637</v>
      </c>
      <c r="E214" s="2" t="s">
        <v>363</v>
      </c>
      <c r="F214" s="48" t="s">
        <v>31</v>
      </c>
      <c r="G214" s="48" t="s">
        <v>37</v>
      </c>
      <c r="H214" s="328">
        <v>9.8000000000000007</v>
      </c>
      <c r="I214" s="47"/>
      <c r="J214" s="47"/>
      <c r="K214" s="47"/>
      <c r="L214" s="47"/>
      <c r="M214" s="47"/>
      <c r="N214" s="194"/>
      <c r="O214" s="194"/>
      <c r="P214" s="194"/>
      <c r="Q214" s="194"/>
      <c r="R214" s="47"/>
      <c r="S214" s="194"/>
      <c r="T214" s="47"/>
      <c r="U214" s="194"/>
      <c r="V214" s="47"/>
      <c r="W214" s="194"/>
      <c r="X214" s="47"/>
      <c r="Y214" s="194"/>
      <c r="Z214" s="194"/>
      <c r="AA214" s="47"/>
      <c r="AB214" s="47"/>
      <c r="AC214" s="47"/>
      <c r="AD214" s="47"/>
      <c r="AE214" s="194"/>
      <c r="AF214" s="194"/>
      <c r="AG214" s="194"/>
      <c r="AI214" s="47"/>
      <c r="AJ214" s="223"/>
      <c r="AK214" s="47"/>
      <c r="AL214" s="47">
        <v>14</v>
      </c>
      <c r="AM214" s="47"/>
      <c r="AN214" s="47"/>
      <c r="AO214" s="47"/>
      <c r="AP214" s="194"/>
      <c r="AQ214" s="47"/>
      <c r="AR214" s="47"/>
      <c r="AS214" s="47"/>
      <c r="AT214" s="194"/>
      <c r="AU214" s="194">
        <v>14</v>
      </c>
      <c r="AV214" s="194"/>
      <c r="AW214" s="194"/>
      <c r="AX214" s="194"/>
      <c r="AY214" s="194"/>
      <c r="AZ214" s="194"/>
      <c r="BA214" s="194"/>
      <c r="BB214" s="194"/>
      <c r="BC214" s="194"/>
      <c r="BD214" s="194"/>
      <c r="BE214" s="194"/>
      <c r="BF214" s="194"/>
      <c r="BG214" s="194"/>
      <c r="BH214" s="194"/>
      <c r="BI214" s="194"/>
      <c r="BJ214" s="194"/>
      <c r="BK214" s="194"/>
      <c r="BL214" s="194"/>
      <c r="BM214" s="194"/>
      <c r="BN214" s="194">
        <v>14</v>
      </c>
      <c r="BO214" s="194"/>
      <c r="BP214" s="194"/>
      <c r="BQ214" s="47"/>
      <c r="BR214" s="194"/>
      <c r="BS214" s="47"/>
      <c r="BT214" s="47"/>
      <c r="BU214" s="47"/>
      <c r="BV214" s="47">
        <v>14</v>
      </c>
      <c r="BW214" s="47"/>
      <c r="BX214" s="194">
        <v>14</v>
      </c>
      <c r="BY214" s="194"/>
      <c r="BZ214" s="194"/>
      <c r="CA214" s="194"/>
      <c r="CB214" s="194"/>
      <c r="CC214" s="47"/>
      <c r="CD214" s="47"/>
      <c r="CE214" s="47"/>
      <c r="CF214" s="47"/>
      <c r="CG214" s="47"/>
      <c r="CH214" s="47"/>
      <c r="CI214" s="47"/>
      <c r="CJ214" s="47"/>
      <c r="CK214" s="224"/>
      <c r="CL214" s="194"/>
      <c r="CM214" s="47"/>
      <c r="CN214" s="47"/>
      <c r="CO214" s="47"/>
      <c r="CP214" s="47"/>
      <c r="CQ214" s="47"/>
      <c r="CR214" s="47"/>
      <c r="CS214" s="47"/>
      <c r="CT214" s="47"/>
      <c r="CU214" s="47"/>
      <c r="CV214" s="47"/>
      <c r="CW214" s="47"/>
      <c r="CX214" s="194">
        <v>14</v>
      </c>
      <c r="CY214" s="47"/>
      <c r="CZ214" s="47"/>
      <c r="DA214" s="47"/>
      <c r="DB214" s="47"/>
      <c r="DC214" s="47"/>
      <c r="DD214" s="47"/>
      <c r="DE214" s="47"/>
      <c r="DF214" s="47"/>
      <c r="DG214" s="47"/>
      <c r="DH214" s="47"/>
      <c r="DI214" s="47"/>
      <c r="DJ214" s="47"/>
      <c r="DK214" s="47"/>
      <c r="DL214" s="47"/>
      <c r="DM214" s="47"/>
      <c r="DN214" s="47"/>
      <c r="DO214" s="47"/>
      <c r="DP214" s="47"/>
      <c r="DQ214" s="47"/>
      <c r="DR214" s="47"/>
      <c r="DS214" s="47"/>
      <c r="DT214" s="47"/>
      <c r="DU214" s="47"/>
      <c r="DV214" s="47">
        <v>14</v>
      </c>
      <c r="DW214" s="198"/>
      <c r="DX214" s="47"/>
      <c r="DY214" s="194"/>
      <c r="DZ214" s="47"/>
      <c r="EA214" s="47"/>
      <c r="EB214" s="194"/>
      <c r="EC214" s="47"/>
      <c r="ED214" s="195"/>
      <c r="EE214" s="195"/>
      <c r="EF214" s="195"/>
      <c r="EG214" s="195"/>
      <c r="EH214" s="195">
        <v>5</v>
      </c>
      <c r="EI214" s="196">
        <f t="shared" si="12"/>
        <v>49</v>
      </c>
      <c r="EJ214" s="201">
        <f t="shared" si="13"/>
        <v>12.446000000000002</v>
      </c>
      <c r="EK214" s="202">
        <v>12</v>
      </c>
      <c r="FA214" s="251">
        <f t="shared" si="14"/>
        <v>9.8000000000000007</v>
      </c>
    </row>
    <row r="215" spans="1:157" s="1" customFormat="1" ht="20.149999999999999" customHeight="1" x14ac:dyDescent="0.35">
      <c r="A215" s="2"/>
      <c r="B215" s="189" t="s">
        <v>971</v>
      </c>
      <c r="C215" s="47" t="s">
        <v>568</v>
      </c>
      <c r="D215" s="2" t="s">
        <v>637</v>
      </c>
      <c r="E215" s="2" t="s">
        <v>366</v>
      </c>
      <c r="F215" s="48" t="s">
        <v>31</v>
      </c>
      <c r="G215" s="48" t="s">
        <v>37</v>
      </c>
      <c r="H215" s="328">
        <v>11.8</v>
      </c>
      <c r="I215" s="47"/>
      <c r="J215" s="47"/>
      <c r="K215" s="47"/>
      <c r="L215" s="47">
        <v>17</v>
      </c>
      <c r="M215" s="47"/>
      <c r="N215" s="194"/>
      <c r="O215" s="194"/>
      <c r="P215" s="194"/>
      <c r="Q215" s="194"/>
      <c r="R215" s="47"/>
      <c r="S215" s="194"/>
      <c r="T215" s="47"/>
      <c r="U215" s="194"/>
      <c r="V215" s="47"/>
      <c r="W215" s="194"/>
      <c r="X215" s="47">
        <v>16</v>
      </c>
      <c r="Y215" s="194"/>
      <c r="Z215" s="194"/>
      <c r="AA215" s="47"/>
      <c r="AB215" s="47"/>
      <c r="AC215" s="47"/>
      <c r="AD215" s="47"/>
      <c r="AE215" s="194"/>
      <c r="AF215" s="194"/>
      <c r="AG215" s="194"/>
      <c r="AI215" s="47"/>
      <c r="AJ215" s="223"/>
      <c r="AK215" s="47"/>
      <c r="AL215" s="47">
        <v>17</v>
      </c>
      <c r="AM215" s="47"/>
      <c r="AN215" s="47"/>
      <c r="AO215" s="47"/>
      <c r="AP215" s="194"/>
      <c r="AQ215" s="47"/>
      <c r="AR215" s="47"/>
      <c r="AS215" s="47"/>
      <c r="AT215" s="194">
        <v>16.5</v>
      </c>
      <c r="AU215" s="194"/>
      <c r="AV215" s="194"/>
      <c r="AW215" s="194"/>
      <c r="AX215" s="194"/>
      <c r="AY215" s="194"/>
      <c r="AZ215" s="194"/>
      <c r="BA215" s="194"/>
      <c r="BB215" s="194"/>
      <c r="BC215" s="194"/>
      <c r="BD215" s="194"/>
      <c r="BE215" s="194"/>
      <c r="BF215" s="194"/>
      <c r="BG215" s="194"/>
      <c r="BH215" s="194"/>
      <c r="BI215" s="194"/>
      <c r="BJ215" s="194"/>
      <c r="BK215" s="194"/>
      <c r="BL215" s="194"/>
      <c r="BM215" s="194"/>
      <c r="BN215" s="194"/>
      <c r="BO215" s="194"/>
      <c r="BP215" s="194"/>
      <c r="BQ215" s="47"/>
      <c r="BR215" s="194"/>
      <c r="BS215" s="47">
        <v>16</v>
      </c>
      <c r="BT215" s="47"/>
      <c r="BU215" s="47"/>
      <c r="BV215" s="47"/>
      <c r="BW215" s="47"/>
      <c r="BX215" s="194">
        <v>17</v>
      </c>
      <c r="BY215" s="194"/>
      <c r="BZ215" s="194"/>
      <c r="CA215" s="194"/>
      <c r="CB215" s="194"/>
      <c r="CC215" s="47"/>
      <c r="CD215" s="47">
        <v>16</v>
      </c>
      <c r="CE215" s="47"/>
      <c r="CF215" s="47"/>
      <c r="CG215" s="47"/>
      <c r="CH215" s="47"/>
      <c r="CI215" s="47"/>
      <c r="CJ215" s="47"/>
      <c r="CK215" s="224"/>
      <c r="CL215" s="194">
        <v>16.5</v>
      </c>
      <c r="CM215" s="47"/>
      <c r="CN215" s="47"/>
      <c r="CO215" s="47"/>
      <c r="CP215" s="47"/>
      <c r="CQ215" s="47">
        <v>16</v>
      </c>
      <c r="CR215" s="47"/>
      <c r="CS215" s="198">
        <v>16</v>
      </c>
      <c r="CT215" s="47"/>
      <c r="CU215" s="47"/>
      <c r="CV215" s="47"/>
      <c r="CW215" s="47"/>
      <c r="CX215" s="194"/>
      <c r="CY215" s="47"/>
      <c r="CZ215" s="47"/>
      <c r="DA215" s="47"/>
      <c r="DB215" s="47"/>
      <c r="DC215" s="47"/>
      <c r="DD215" s="47"/>
      <c r="DE215" s="47"/>
      <c r="DF215" s="47"/>
      <c r="DG215" s="47"/>
      <c r="DH215" s="47"/>
      <c r="DI215" s="47"/>
      <c r="DJ215" s="47"/>
      <c r="DK215" s="47"/>
      <c r="DL215" s="47"/>
      <c r="DM215" s="47"/>
      <c r="DN215" s="47"/>
      <c r="DO215" s="47"/>
      <c r="DP215" s="47"/>
      <c r="DQ215" s="47"/>
      <c r="DR215" s="47"/>
      <c r="DS215" s="47"/>
      <c r="DT215" s="47"/>
      <c r="DU215" s="47"/>
      <c r="DV215" s="47"/>
      <c r="DW215" s="198"/>
      <c r="DX215" s="47"/>
      <c r="DY215" s="194"/>
      <c r="DZ215" s="47"/>
      <c r="EA215" s="47"/>
      <c r="EB215" s="194"/>
      <c r="EC215" s="47"/>
      <c r="ED215" s="195"/>
      <c r="EE215" s="195"/>
      <c r="EF215" s="195"/>
      <c r="EG215" s="195"/>
      <c r="EH215" s="195">
        <v>9</v>
      </c>
      <c r="EI215" s="196">
        <f t="shared" si="12"/>
        <v>106.2</v>
      </c>
      <c r="EJ215" s="201">
        <f t="shared" si="13"/>
        <v>14.986000000000001</v>
      </c>
      <c r="EK215" s="202">
        <f>AVERAGE(I215:EC215)</f>
        <v>16.399999999999999</v>
      </c>
      <c r="FA215" s="251">
        <f t="shared" si="14"/>
        <v>11.8</v>
      </c>
    </row>
    <row r="216" spans="1:157" s="1" customFormat="1" ht="20.149999999999999" customHeight="1" x14ac:dyDescent="0.35">
      <c r="A216" s="2"/>
      <c r="B216" s="189"/>
      <c r="C216" s="47"/>
      <c r="D216" s="48"/>
      <c r="E216" s="48"/>
      <c r="F216" s="48"/>
      <c r="G216" s="48"/>
      <c r="H216" s="223"/>
      <c r="I216" s="47"/>
      <c r="J216" s="47"/>
      <c r="K216" s="47"/>
      <c r="L216" s="47"/>
      <c r="M216" s="47"/>
      <c r="N216" s="194"/>
      <c r="O216" s="194"/>
      <c r="P216" s="194"/>
      <c r="Q216" s="194"/>
      <c r="R216" s="47"/>
      <c r="S216" s="194"/>
      <c r="T216" s="47"/>
      <c r="U216" s="194"/>
      <c r="V216" s="47"/>
      <c r="W216" s="194"/>
      <c r="X216" s="47"/>
      <c r="Y216" s="194"/>
      <c r="Z216" s="194"/>
      <c r="AA216" s="47"/>
      <c r="AB216" s="47"/>
      <c r="AC216" s="47"/>
      <c r="AD216" s="47"/>
      <c r="AE216" s="194"/>
      <c r="AF216" s="194"/>
      <c r="AG216" s="194"/>
      <c r="AH216" s="5"/>
      <c r="AI216" s="47"/>
      <c r="AJ216" s="223"/>
      <c r="AK216" s="47"/>
      <c r="AL216" s="47"/>
      <c r="AM216" s="47"/>
      <c r="AN216" s="47"/>
      <c r="AO216" s="47"/>
      <c r="AP216" s="194"/>
      <c r="AQ216" s="47"/>
      <c r="AR216" s="47"/>
      <c r="AS216" s="47"/>
      <c r="AT216" s="194"/>
      <c r="AU216" s="194"/>
      <c r="AV216" s="194"/>
      <c r="AW216" s="194"/>
      <c r="AX216" s="194"/>
      <c r="AY216" s="194"/>
      <c r="AZ216" s="194"/>
      <c r="BA216" s="194"/>
      <c r="BB216" s="194"/>
      <c r="BC216" s="194"/>
      <c r="BD216" s="194"/>
      <c r="BE216" s="194"/>
      <c r="BF216" s="194"/>
      <c r="BG216" s="194"/>
      <c r="BH216" s="194"/>
      <c r="BI216" s="194"/>
      <c r="BJ216" s="194"/>
      <c r="BK216" s="194"/>
      <c r="BL216" s="194"/>
      <c r="BM216" s="194"/>
      <c r="BN216" s="194"/>
      <c r="BO216" s="194"/>
      <c r="BP216" s="194"/>
      <c r="BQ216" s="47"/>
      <c r="BR216" s="194"/>
      <c r="BS216" s="47"/>
      <c r="BT216" s="47"/>
      <c r="BU216" s="47"/>
      <c r="BV216" s="47"/>
      <c r="BW216" s="47"/>
      <c r="BX216" s="194"/>
      <c r="BY216" s="194"/>
      <c r="BZ216" s="194"/>
      <c r="CA216" s="194"/>
      <c r="CB216" s="194"/>
      <c r="CC216" s="47"/>
      <c r="CD216" s="47"/>
      <c r="CE216" s="47"/>
      <c r="CF216" s="47"/>
      <c r="CG216" s="47"/>
      <c r="CH216" s="47"/>
      <c r="CI216" s="47"/>
      <c r="CJ216" s="47"/>
      <c r="CK216" s="224"/>
      <c r="CL216" s="194"/>
      <c r="CM216" s="47"/>
      <c r="CN216" s="47"/>
      <c r="CO216" s="47"/>
      <c r="CP216" s="47"/>
      <c r="CQ216" s="47"/>
      <c r="CR216" s="47"/>
      <c r="CS216" s="47"/>
      <c r="CT216" s="47"/>
      <c r="CU216" s="47"/>
      <c r="CV216" s="47"/>
      <c r="CW216" s="47"/>
      <c r="CX216" s="194"/>
      <c r="CY216" s="47"/>
      <c r="CZ216" s="47"/>
      <c r="DA216" s="47"/>
      <c r="DB216" s="47"/>
      <c r="DC216" s="47"/>
      <c r="DD216" s="47"/>
      <c r="DE216" s="47"/>
      <c r="DF216" s="47"/>
      <c r="DG216" s="47"/>
      <c r="DH216" s="47"/>
      <c r="DI216" s="47"/>
      <c r="DJ216" s="47"/>
      <c r="DK216" s="47"/>
      <c r="DL216" s="47"/>
      <c r="DM216" s="47"/>
      <c r="DN216" s="47"/>
      <c r="DO216" s="47"/>
      <c r="DP216" s="47"/>
      <c r="DQ216" s="47"/>
      <c r="DR216" s="47"/>
      <c r="DS216" s="47"/>
      <c r="DT216" s="47"/>
      <c r="DU216" s="47"/>
      <c r="DV216" s="47"/>
      <c r="DW216" s="198"/>
      <c r="DX216" s="47"/>
      <c r="DY216" s="194"/>
      <c r="DZ216" s="47"/>
      <c r="EA216" s="47"/>
      <c r="EB216" s="194"/>
      <c r="EC216" s="47"/>
      <c r="ED216" s="195"/>
      <c r="EE216" s="195"/>
      <c r="EF216" s="195"/>
      <c r="EG216" s="195"/>
      <c r="EH216" s="195"/>
      <c r="EI216" s="196"/>
      <c r="EJ216" s="201"/>
      <c r="EK216" s="202"/>
      <c r="EL216" s="5"/>
      <c r="FA216" s="251">
        <f t="shared" si="14"/>
        <v>0</v>
      </c>
    </row>
    <row r="217" spans="1:157" s="1" customFormat="1" ht="20.149999999999999" customHeight="1" x14ac:dyDescent="0.35">
      <c r="A217" s="2"/>
      <c r="B217" s="189" t="s">
        <v>972</v>
      </c>
      <c r="C217" s="47" t="s">
        <v>1449</v>
      </c>
      <c r="D217" s="2" t="s">
        <v>637</v>
      </c>
      <c r="E217" s="2" t="s">
        <v>366</v>
      </c>
      <c r="F217" s="48" t="s">
        <v>31</v>
      </c>
      <c r="G217" s="48" t="s">
        <v>37</v>
      </c>
      <c r="H217" s="328">
        <v>11</v>
      </c>
      <c r="I217" s="47"/>
      <c r="J217" s="47"/>
      <c r="K217" s="47"/>
      <c r="L217" s="47"/>
      <c r="M217" s="47"/>
      <c r="N217" s="194"/>
      <c r="O217" s="194"/>
      <c r="P217" s="194"/>
      <c r="Q217" s="194"/>
      <c r="R217" s="47"/>
      <c r="S217" s="194">
        <v>16</v>
      </c>
      <c r="T217" s="47"/>
      <c r="U217" s="194"/>
      <c r="V217" s="47"/>
      <c r="W217" s="194"/>
      <c r="X217" s="47"/>
      <c r="Y217" s="194"/>
      <c r="Z217" s="194"/>
      <c r="AA217" s="47"/>
      <c r="AB217" s="47">
        <v>17</v>
      </c>
      <c r="AC217" s="47"/>
      <c r="AD217" s="47"/>
      <c r="AE217" s="194"/>
      <c r="AF217" s="194"/>
      <c r="AG217" s="194"/>
      <c r="AH217" s="5"/>
      <c r="AI217" s="47"/>
      <c r="AJ217" s="223"/>
      <c r="AK217" s="47"/>
      <c r="AL217" s="47"/>
      <c r="AM217" s="47"/>
      <c r="AN217" s="47"/>
      <c r="AO217" s="47"/>
      <c r="AP217" s="194"/>
      <c r="AQ217" s="47">
        <v>17</v>
      </c>
      <c r="AR217" s="47">
        <v>16</v>
      </c>
      <c r="AS217" s="47"/>
      <c r="AT217" s="194"/>
      <c r="AU217" s="194"/>
      <c r="AV217" s="194"/>
      <c r="AW217" s="194"/>
      <c r="AX217" s="194"/>
      <c r="AY217" s="194">
        <v>17</v>
      </c>
      <c r="AZ217" s="194"/>
      <c r="BA217" s="194"/>
      <c r="BB217" s="194"/>
      <c r="BC217" s="194"/>
      <c r="BD217" s="194"/>
      <c r="BE217" s="194"/>
      <c r="BF217" s="194"/>
      <c r="BG217" s="194"/>
      <c r="BH217" s="194"/>
      <c r="BI217" s="194"/>
      <c r="BJ217" s="194"/>
      <c r="BK217" s="194"/>
      <c r="BL217" s="194"/>
      <c r="BM217" s="194">
        <v>16</v>
      </c>
      <c r="BN217" s="194">
        <v>16</v>
      </c>
      <c r="BO217" s="194"/>
      <c r="BP217" s="194"/>
      <c r="BQ217" s="47"/>
      <c r="BR217" s="194"/>
      <c r="BS217" s="47"/>
      <c r="BT217" s="47"/>
      <c r="BU217" s="47"/>
      <c r="BV217" s="47"/>
      <c r="BW217" s="47"/>
      <c r="BX217" s="194"/>
      <c r="BY217" s="194"/>
      <c r="BZ217" s="194"/>
      <c r="CA217" s="194"/>
      <c r="CB217" s="194"/>
      <c r="CC217" s="47"/>
      <c r="CD217" s="47"/>
      <c r="CE217" s="47"/>
      <c r="CF217" s="47"/>
      <c r="CG217" s="47">
        <v>17</v>
      </c>
      <c r="CH217" s="47"/>
      <c r="CI217" s="47"/>
      <c r="CJ217" s="47"/>
      <c r="CK217" s="224"/>
      <c r="CL217" s="194"/>
      <c r="CM217" s="47"/>
      <c r="CN217" s="47"/>
      <c r="CO217" s="47"/>
      <c r="CP217" s="47"/>
      <c r="CQ217" s="47"/>
      <c r="CR217" s="47"/>
      <c r="CS217" s="47"/>
      <c r="CT217" s="47"/>
      <c r="CU217" s="47"/>
      <c r="CV217" s="47">
        <v>16.5</v>
      </c>
      <c r="CW217" s="47"/>
      <c r="CX217" s="194"/>
      <c r="CY217" s="47"/>
      <c r="CZ217" s="47">
        <v>16</v>
      </c>
      <c r="DA217" s="47"/>
      <c r="DB217" s="47"/>
      <c r="DC217" s="47"/>
      <c r="DD217" s="47"/>
      <c r="DE217" s="47"/>
      <c r="DF217" s="47"/>
      <c r="DG217" s="47"/>
      <c r="DH217" s="47"/>
      <c r="DI217" s="47"/>
      <c r="DJ217" s="47">
        <v>17</v>
      </c>
      <c r="DK217" s="47"/>
      <c r="DL217" s="47"/>
      <c r="DM217" s="47"/>
      <c r="DN217" s="47"/>
      <c r="DO217" s="47"/>
      <c r="DP217" s="47"/>
      <c r="DQ217" s="47"/>
      <c r="DR217" s="47"/>
      <c r="DS217" s="47"/>
      <c r="DT217" s="47"/>
      <c r="DU217" s="47"/>
      <c r="DV217" s="47"/>
      <c r="DW217" s="198"/>
      <c r="DX217" s="47"/>
      <c r="DY217" s="194"/>
      <c r="DZ217" s="47"/>
      <c r="EA217" s="47"/>
      <c r="EB217" s="194"/>
      <c r="EC217" s="47"/>
      <c r="ED217" s="195"/>
      <c r="EE217" s="195"/>
      <c r="EF217" s="195"/>
      <c r="EG217" s="195"/>
      <c r="EH217" s="195">
        <v>9</v>
      </c>
      <c r="EI217" s="196">
        <f t="shared" si="12"/>
        <v>99</v>
      </c>
      <c r="EJ217" s="201">
        <f t="shared" si="13"/>
        <v>13.97</v>
      </c>
      <c r="EK217" s="202">
        <f>AVERAGE(I217:EC217)</f>
        <v>16.5</v>
      </c>
      <c r="EL217" s="5"/>
      <c r="FA217" s="251">
        <f t="shared" si="14"/>
        <v>11</v>
      </c>
    </row>
    <row r="218" spans="1:157" s="1" customFormat="1" ht="20.149999999999999" customHeight="1" x14ac:dyDescent="0.35">
      <c r="A218" s="2"/>
      <c r="B218" s="189" t="s">
        <v>973</v>
      </c>
      <c r="C218" s="47" t="s">
        <v>293</v>
      </c>
      <c r="D218" s="2" t="s">
        <v>637</v>
      </c>
      <c r="E218" s="2" t="s">
        <v>52</v>
      </c>
      <c r="F218" s="48" t="s">
        <v>31</v>
      </c>
      <c r="G218" s="48" t="s">
        <v>37</v>
      </c>
      <c r="H218" s="328">
        <v>19.5</v>
      </c>
      <c r="I218" s="47"/>
      <c r="J218" s="47"/>
      <c r="K218" s="47"/>
      <c r="L218" s="47"/>
      <c r="M218" s="47"/>
      <c r="N218" s="194"/>
      <c r="O218" s="194"/>
      <c r="P218" s="194"/>
      <c r="Q218" s="194"/>
      <c r="R218" s="47"/>
      <c r="S218" s="194"/>
      <c r="T218" s="47"/>
      <c r="U218" s="194"/>
      <c r="V218" s="47"/>
      <c r="W218" s="194"/>
      <c r="X218" s="47"/>
      <c r="Y218" s="194"/>
      <c r="Z218" s="194"/>
      <c r="AA218" s="47"/>
      <c r="AB218" s="47"/>
      <c r="AC218" s="47"/>
      <c r="AD218" s="47"/>
      <c r="AE218" s="194"/>
      <c r="AF218" s="194"/>
      <c r="AG218" s="194"/>
      <c r="AH218" s="5"/>
      <c r="AI218" s="47"/>
      <c r="AJ218" s="223"/>
      <c r="AK218" s="47"/>
      <c r="AL218" s="47"/>
      <c r="AM218" s="47"/>
      <c r="AN218" s="47"/>
      <c r="AO218" s="47"/>
      <c r="AP218" s="194"/>
      <c r="AQ218" s="47"/>
      <c r="AR218" s="47"/>
      <c r="AS218" s="47"/>
      <c r="AT218" s="194"/>
      <c r="AU218" s="194"/>
      <c r="AV218" s="194"/>
      <c r="AW218" s="194"/>
      <c r="AX218" s="194"/>
      <c r="AY218" s="194">
        <v>25</v>
      </c>
      <c r="AZ218" s="194"/>
      <c r="BA218" s="194"/>
      <c r="BB218" s="194"/>
      <c r="BC218" s="194"/>
      <c r="BD218" s="194"/>
      <c r="BE218" s="194"/>
      <c r="BF218" s="194"/>
      <c r="BG218" s="194"/>
      <c r="BH218" s="194"/>
      <c r="BI218" s="194"/>
      <c r="BJ218" s="194"/>
      <c r="BK218" s="194"/>
      <c r="BL218" s="194"/>
      <c r="BM218" s="194"/>
      <c r="BN218" s="194"/>
      <c r="BO218" s="194"/>
      <c r="BP218" s="194"/>
      <c r="BQ218" s="47"/>
      <c r="BR218" s="194"/>
      <c r="BS218" s="47"/>
      <c r="BT218" s="47"/>
      <c r="BU218" s="47"/>
      <c r="BV218" s="47"/>
      <c r="BW218" s="47"/>
      <c r="BX218" s="194"/>
      <c r="BY218" s="194"/>
      <c r="BZ218" s="194"/>
      <c r="CA218" s="194"/>
      <c r="CB218" s="194"/>
      <c r="CC218" s="47"/>
      <c r="CD218" s="47"/>
      <c r="CE218" s="47"/>
      <c r="CF218" s="47"/>
      <c r="CG218" s="47"/>
      <c r="CH218" s="47"/>
      <c r="CI218" s="47"/>
      <c r="CJ218" s="47"/>
      <c r="CK218" s="224"/>
      <c r="CL218" s="194">
        <v>25</v>
      </c>
      <c r="CM218" s="47"/>
      <c r="CN218" s="47"/>
      <c r="CO218" s="47"/>
      <c r="CP218" s="47"/>
      <c r="CQ218" s="47"/>
      <c r="CR218" s="47"/>
      <c r="CS218" s="47"/>
      <c r="CT218" s="47"/>
      <c r="CU218" s="47"/>
      <c r="CV218" s="47"/>
      <c r="CW218" s="47"/>
      <c r="CX218" s="194">
        <v>23</v>
      </c>
      <c r="CY218" s="47"/>
      <c r="CZ218" s="47">
        <v>23</v>
      </c>
      <c r="DA218" s="47"/>
      <c r="DB218" s="47"/>
      <c r="DC218" s="47"/>
      <c r="DD218" s="47"/>
      <c r="DE218" s="47"/>
      <c r="DF218" s="47"/>
      <c r="DG218" s="47"/>
      <c r="DH218" s="47"/>
      <c r="DI218" s="47"/>
      <c r="DJ218" s="47"/>
      <c r="DK218" s="47"/>
      <c r="DL218" s="47"/>
      <c r="DM218" s="47"/>
      <c r="DN218" s="47"/>
      <c r="DO218" s="47"/>
      <c r="DP218" s="47"/>
      <c r="DQ218" s="47"/>
      <c r="DR218" s="47"/>
      <c r="DS218" s="47"/>
      <c r="DT218" s="47"/>
      <c r="DU218" s="47">
        <v>22</v>
      </c>
      <c r="DV218" s="47"/>
      <c r="DW218" s="198"/>
      <c r="DX218" s="47"/>
      <c r="DY218" s="194"/>
      <c r="DZ218" s="47"/>
      <c r="EA218" s="47"/>
      <c r="EB218" s="194"/>
      <c r="EC218" s="47"/>
      <c r="ED218" s="195"/>
      <c r="EE218" s="195"/>
      <c r="EF218" s="195"/>
      <c r="EG218" s="195"/>
      <c r="EH218" s="195">
        <v>20</v>
      </c>
      <c r="EI218" s="196">
        <f t="shared" si="12"/>
        <v>390</v>
      </c>
      <c r="EJ218" s="201">
        <f t="shared" si="13"/>
        <v>24.765000000000001</v>
      </c>
      <c r="EK218" s="202">
        <v>0</v>
      </c>
      <c r="EL218" s="5"/>
      <c r="FA218" s="251">
        <f t="shared" si="14"/>
        <v>19.5</v>
      </c>
    </row>
    <row r="219" spans="1:157" s="1" customFormat="1" ht="20.149999999999999" customHeight="1" x14ac:dyDescent="0.35">
      <c r="A219" s="2"/>
      <c r="B219" s="189" t="s">
        <v>974</v>
      </c>
      <c r="C219" s="47" t="s">
        <v>293</v>
      </c>
      <c r="D219" s="2" t="s">
        <v>637</v>
      </c>
      <c r="E219" s="2" t="s">
        <v>52</v>
      </c>
      <c r="F219" s="48" t="s">
        <v>641</v>
      </c>
      <c r="G219" s="48" t="s">
        <v>37</v>
      </c>
      <c r="H219" s="328">
        <f>H218/1000*100</f>
        <v>1.95</v>
      </c>
      <c r="I219" s="47"/>
      <c r="J219" s="47"/>
      <c r="K219" s="47"/>
      <c r="L219" s="47"/>
      <c r="M219" s="47"/>
      <c r="N219" s="194"/>
      <c r="O219" s="194"/>
      <c r="P219" s="194"/>
      <c r="Q219" s="194"/>
      <c r="R219" s="47"/>
      <c r="S219" s="194"/>
      <c r="T219" s="47"/>
      <c r="U219" s="194"/>
      <c r="V219" s="47"/>
      <c r="W219" s="194"/>
      <c r="X219" s="47"/>
      <c r="Y219" s="194"/>
      <c r="Z219" s="194"/>
      <c r="AA219" s="47"/>
      <c r="AB219" s="47"/>
      <c r="AC219" s="47"/>
      <c r="AD219" s="47"/>
      <c r="AE219" s="194"/>
      <c r="AF219" s="194"/>
      <c r="AG219" s="194"/>
      <c r="AH219" s="5"/>
      <c r="AI219" s="47"/>
      <c r="AJ219" s="223"/>
      <c r="AK219" s="47"/>
      <c r="AL219" s="47"/>
      <c r="AM219" s="47"/>
      <c r="AN219" s="47"/>
      <c r="AO219" s="47"/>
      <c r="AP219" s="194"/>
      <c r="AQ219" s="47"/>
      <c r="AR219" s="47"/>
      <c r="AS219" s="47"/>
      <c r="AT219" s="194"/>
      <c r="AU219" s="194"/>
      <c r="AV219" s="194"/>
      <c r="AW219" s="194"/>
      <c r="AX219" s="194"/>
      <c r="AY219" s="194"/>
      <c r="AZ219" s="194"/>
      <c r="BA219" s="194"/>
      <c r="BB219" s="194"/>
      <c r="BC219" s="194"/>
      <c r="BD219" s="194"/>
      <c r="BE219" s="194"/>
      <c r="BF219" s="194"/>
      <c r="BG219" s="194"/>
      <c r="BH219" s="194"/>
      <c r="BI219" s="194"/>
      <c r="BJ219" s="194"/>
      <c r="BK219" s="194"/>
      <c r="BL219" s="194"/>
      <c r="BM219" s="194"/>
      <c r="BN219" s="194"/>
      <c r="BO219" s="194"/>
      <c r="BP219" s="194"/>
      <c r="BQ219" s="47"/>
      <c r="BR219" s="194"/>
      <c r="BS219" s="47"/>
      <c r="BT219" s="47"/>
      <c r="BU219" s="47"/>
      <c r="BV219" s="47"/>
      <c r="BW219" s="47"/>
      <c r="BX219" s="194"/>
      <c r="BY219" s="194"/>
      <c r="BZ219" s="194"/>
      <c r="CA219" s="194"/>
      <c r="CB219" s="194"/>
      <c r="CC219" s="47"/>
      <c r="CD219" s="47"/>
      <c r="CE219" s="47"/>
      <c r="CF219" s="47"/>
      <c r="CG219" s="47"/>
      <c r="CH219" s="47"/>
      <c r="CI219" s="47"/>
      <c r="CJ219" s="47"/>
      <c r="CK219" s="224"/>
      <c r="CL219" s="194"/>
      <c r="CM219" s="47"/>
      <c r="CN219" s="47"/>
      <c r="CO219" s="47"/>
      <c r="CP219" s="47"/>
      <c r="CQ219" s="47"/>
      <c r="CR219" s="47"/>
      <c r="CS219" s="47"/>
      <c r="CT219" s="47"/>
      <c r="CU219" s="47"/>
      <c r="CV219" s="47"/>
      <c r="CW219" s="47"/>
      <c r="CX219" s="194"/>
      <c r="CY219" s="47"/>
      <c r="CZ219" s="47"/>
      <c r="DA219" s="47"/>
      <c r="DB219" s="47"/>
      <c r="DC219" s="47"/>
      <c r="DD219" s="47"/>
      <c r="DE219" s="47"/>
      <c r="DF219" s="47"/>
      <c r="DG219" s="47"/>
      <c r="DH219" s="47"/>
      <c r="DI219" s="47"/>
      <c r="DJ219" s="47"/>
      <c r="DK219" s="47"/>
      <c r="DL219" s="47"/>
      <c r="DM219" s="47"/>
      <c r="DN219" s="47"/>
      <c r="DO219" s="47"/>
      <c r="DP219" s="47"/>
      <c r="DQ219" s="47"/>
      <c r="DR219" s="47"/>
      <c r="DS219" s="47"/>
      <c r="DT219" s="47"/>
      <c r="DU219" s="47"/>
      <c r="DV219" s="47"/>
      <c r="DW219" s="198"/>
      <c r="DX219" s="47"/>
      <c r="DY219" s="194"/>
      <c r="DZ219" s="47"/>
      <c r="EA219" s="47"/>
      <c r="EB219" s="194"/>
      <c r="EC219" s="47"/>
      <c r="ED219" s="195"/>
      <c r="EE219" s="195"/>
      <c r="EF219" s="195"/>
      <c r="EG219" s="195"/>
      <c r="EH219" s="195">
        <v>0</v>
      </c>
      <c r="EI219" s="196">
        <f t="shared" si="12"/>
        <v>0</v>
      </c>
      <c r="EJ219" s="201">
        <f t="shared" si="13"/>
        <v>2.4765000000000001</v>
      </c>
      <c r="EK219" s="202">
        <v>23</v>
      </c>
      <c r="EL219" s="5"/>
      <c r="FA219" s="251">
        <f t="shared" si="14"/>
        <v>1.95</v>
      </c>
    </row>
    <row r="220" spans="1:157" s="1" customFormat="1" ht="20.149999999999999" customHeight="1" x14ac:dyDescent="0.35">
      <c r="A220" s="2"/>
      <c r="B220" s="189" t="s">
        <v>975</v>
      </c>
      <c r="C220" s="47" t="s">
        <v>185</v>
      </c>
      <c r="D220" s="2" t="s">
        <v>637</v>
      </c>
      <c r="E220" s="2" t="s">
        <v>33</v>
      </c>
      <c r="F220" s="48" t="s">
        <v>31</v>
      </c>
      <c r="G220" s="48" t="s">
        <v>37</v>
      </c>
      <c r="H220" s="328">
        <v>4.3</v>
      </c>
      <c r="I220" s="47"/>
      <c r="J220" s="47"/>
      <c r="K220" s="47"/>
      <c r="L220" s="47"/>
      <c r="M220" s="47"/>
      <c r="N220" s="194"/>
      <c r="O220" s="194"/>
      <c r="P220" s="194"/>
      <c r="Q220" s="194"/>
      <c r="R220" s="47"/>
      <c r="S220" s="194"/>
      <c r="T220" s="47"/>
      <c r="U220" s="194"/>
      <c r="V220" s="47"/>
      <c r="W220" s="194"/>
      <c r="X220" s="47"/>
      <c r="Y220" s="194"/>
      <c r="Z220" s="194"/>
      <c r="AA220" s="47"/>
      <c r="AB220" s="47"/>
      <c r="AC220" s="47"/>
      <c r="AD220" s="47"/>
      <c r="AE220" s="194"/>
      <c r="AF220" s="194"/>
      <c r="AG220" s="194"/>
      <c r="AH220" s="5"/>
      <c r="AI220" s="47"/>
      <c r="AJ220" s="223"/>
      <c r="AK220" s="47"/>
      <c r="AL220" s="47"/>
      <c r="AM220" s="47"/>
      <c r="AN220" s="47"/>
      <c r="AO220" s="47"/>
      <c r="AP220" s="194"/>
      <c r="AQ220" s="47">
        <v>5.2</v>
      </c>
      <c r="AR220" s="47"/>
      <c r="AS220" s="47"/>
      <c r="AT220" s="194"/>
      <c r="AU220" s="194"/>
      <c r="AV220" s="194"/>
      <c r="AW220" s="194"/>
      <c r="AX220" s="194"/>
      <c r="AY220" s="194"/>
      <c r="AZ220" s="194"/>
      <c r="BA220" s="194"/>
      <c r="BB220" s="194"/>
      <c r="BC220" s="194"/>
      <c r="BD220" s="194"/>
      <c r="BE220" s="194"/>
      <c r="BF220" s="194"/>
      <c r="BG220" s="194"/>
      <c r="BH220" s="194"/>
      <c r="BI220" s="194"/>
      <c r="BJ220" s="194"/>
      <c r="BK220" s="194"/>
      <c r="BL220" s="194"/>
      <c r="BM220" s="194"/>
      <c r="BN220" s="194"/>
      <c r="BO220" s="194"/>
      <c r="BP220" s="194"/>
      <c r="BQ220" s="47"/>
      <c r="BR220" s="194"/>
      <c r="BS220" s="47"/>
      <c r="BT220" s="47"/>
      <c r="BU220" s="47"/>
      <c r="BV220" s="47"/>
      <c r="BW220" s="47"/>
      <c r="BX220" s="194">
        <v>5.2</v>
      </c>
      <c r="BY220" s="194"/>
      <c r="BZ220" s="194"/>
      <c r="CA220" s="194"/>
      <c r="CB220" s="194"/>
      <c r="CC220" s="47"/>
      <c r="CD220" s="47">
        <v>5.2</v>
      </c>
      <c r="CE220" s="47"/>
      <c r="CF220" s="47"/>
      <c r="CG220" s="47"/>
      <c r="CH220" s="47"/>
      <c r="CI220" s="47"/>
      <c r="CJ220" s="47"/>
      <c r="CK220" s="224"/>
      <c r="CL220" s="194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>
        <v>5</v>
      </c>
      <c r="CW220" s="47"/>
      <c r="CX220" s="194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>
        <v>5</v>
      </c>
      <c r="DV220" s="47">
        <v>5.2</v>
      </c>
      <c r="DW220" s="198"/>
      <c r="DX220" s="47"/>
      <c r="DY220" s="194"/>
      <c r="DZ220" s="47"/>
      <c r="EA220" s="47"/>
      <c r="EB220" s="194"/>
      <c r="EC220" s="47"/>
      <c r="ED220" s="195"/>
      <c r="EE220" s="195"/>
      <c r="EF220" s="195"/>
      <c r="EG220" s="195"/>
      <c r="EH220" s="195">
        <v>20</v>
      </c>
      <c r="EI220" s="196">
        <f t="shared" si="12"/>
        <v>86</v>
      </c>
      <c r="EJ220" s="201">
        <f t="shared" si="13"/>
        <v>5.4609999999999994</v>
      </c>
      <c r="EK220" s="202">
        <v>4</v>
      </c>
      <c r="EL220" s="5"/>
      <c r="FA220" s="251">
        <f t="shared" si="14"/>
        <v>4.3</v>
      </c>
    </row>
    <row r="221" spans="1:157" s="1" customFormat="1" ht="20.149999999999999" customHeight="1" x14ac:dyDescent="0.35">
      <c r="A221" s="2"/>
      <c r="B221" s="189" t="s">
        <v>976</v>
      </c>
      <c r="C221" s="47" t="s">
        <v>185</v>
      </c>
      <c r="D221" s="2" t="s">
        <v>637</v>
      </c>
      <c r="E221" s="2" t="s">
        <v>33</v>
      </c>
      <c r="F221" s="48" t="s">
        <v>641</v>
      </c>
      <c r="G221" s="48" t="s">
        <v>37</v>
      </c>
      <c r="H221" s="57">
        <f>3.8*2.5</f>
        <v>9.5</v>
      </c>
      <c r="I221" s="47"/>
      <c r="J221" s="47"/>
      <c r="K221" s="47"/>
      <c r="L221" s="47"/>
      <c r="M221" s="47"/>
      <c r="N221" s="194"/>
      <c r="O221" s="194"/>
      <c r="P221" s="194"/>
      <c r="Q221" s="194"/>
      <c r="R221" s="47"/>
      <c r="S221" s="194"/>
      <c r="T221" s="47"/>
      <c r="U221" s="194"/>
      <c r="V221" s="47"/>
      <c r="W221" s="194"/>
      <c r="X221" s="47"/>
      <c r="Y221" s="194"/>
      <c r="Z221" s="194"/>
      <c r="AA221" s="47"/>
      <c r="AB221" s="47"/>
      <c r="AC221" s="47"/>
      <c r="AD221" s="47"/>
      <c r="AE221" s="194"/>
      <c r="AF221" s="194"/>
      <c r="AG221" s="194"/>
      <c r="AH221" s="5"/>
      <c r="AI221" s="47"/>
      <c r="AJ221" s="223"/>
      <c r="AK221" s="47"/>
      <c r="AL221" s="47"/>
      <c r="AM221" s="47"/>
      <c r="AN221" s="47"/>
      <c r="AO221" s="47"/>
      <c r="AP221" s="194"/>
      <c r="AQ221" s="47"/>
      <c r="AR221" s="47"/>
      <c r="AS221" s="47"/>
      <c r="AT221" s="194"/>
      <c r="AU221" s="194"/>
      <c r="AV221" s="194"/>
      <c r="AW221" s="194"/>
      <c r="AX221" s="194"/>
      <c r="AY221" s="194"/>
      <c r="AZ221" s="194"/>
      <c r="BA221" s="194"/>
      <c r="BB221" s="194"/>
      <c r="BC221" s="194"/>
      <c r="BD221" s="194"/>
      <c r="BE221" s="194"/>
      <c r="BF221" s="194"/>
      <c r="BG221" s="194"/>
      <c r="BH221" s="194"/>
      <c r="BI221" s="194"/>
      <c r="BJ221" s="194"/>
      <c r="BK221" s="194"/>
      <c r="BL221" s="194"/>
      <c r="BM221" s="194"/>
      <c r="BN221" s="194"/>
      <c r="BO221" s="194"/>
      <c r="BP221" s="194"/>
      <c r="BQ221" s="47"/>
      <c r="BR221" s="194"/>
      <c r="BS221" s="47"/>
      <c r="BT221" s="47"/>
      <c r="BU221" s="47"/>
      <c r="BV221" s="47"/>
      <c r="BW221" s="47"/>
      <c r="BX221" s="194"/>
      <c r="BY221" s="194"/>
      <c r="BZ221" s="194"/>
      <c r="CA221" s="194"/>
      <c r="CB221" s="194"/>
      <c r="CC221" s="47"/>
      <c r="CD221" s="47"/>
      <c r="CE221" s="47"/>
      <c r="CF221" s="47"/>
      <c r="CG221" s="47"/>
      <c r="CH221" s="47"/>
      <c r="CI221" s="47"/>
      <c r="CJ221" s="47"/>
      <c r="CK221" s="224"/>
      <c r="CL221" s="194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194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198"/>
      <c r="DX221" s="47"/>
      <c r="DY221" s="194"/>
      <c r="DZ221" s="47"/>
      <c r="EA221" s="47"/>
      <c r="EB221" s="194"/>
      <c r="EC221" s="47"/>
      <c r="ED221" s="195"/>
      <c r="EE221" s="195"/>
      <c r="EF221" s="195"/>
      <c r="EG221" s="195"/>
      <c r="EH221" s="195">
        <v>0</v>
      </c>
      <c r="EI221" s="196">
        <f t="shared" si="12"/>
        <v>0</v>
      </c>
      <c r="EJ221" s="201">
        <f t="shared" si="13"/>
        <v>12.065</v>
      </c>
      <c r="EK221" s="202">
        <v>0</v>
      </c>
      <c r="EL221" s="5"/>
      <c r="FA221" s="251">
        <f t="shared" si="14"/>
        <v>9.5</v>
      </c>
    </row>
    <row r="222" spans="1:157" s="1" customFormat="1" ht="20.149999999999999" customHeight="1" x14ac:dyDescent="0.35">
      <c r="A222" s="2"/>
      <c r="B222" s="189"/>
      <c r="C222" s="47"/>
      <c r="D222" s="2"/>
      <c r="E222" s="2"/>
      <c r="F222" s="48"/>
      <c r="G222" s="48"/>
      <c r="H222" s="57"/>
      <c r="I222" s="47"/>
      <c r="J222" s="47"/>
      <c r="K222" s="47"/>
      <c r="L222" s="47"/>
      <c r="M222" s="47"/>
      <c r="N222" s="194"/>
      <c r="O222" s="194"/>
      <c r="P222" s="194"/>
      <c r="Q222" s="194"/>
      <c r="R222" s="47"/>
      <c r="S222" s="194"/>
      <c r="T222" s="47"/>
      <c r="U222" s="194"/>
      <c r="V222" s="47"/>
      <c r="W222" s="194"/>
      <c r="X222" s="47"/>
      <c r="Y222" s="194"/>
      <c r="Z222" s="194"/>
      <c r="AA222" s="47"/>
      <c r="AB222" s="47"/>
      <c r="AC222" s="47"/>
      <c r="AD222" s="47"/>
      <c r="AE222" s="194"/>
      <c r="AF222" s="194"/>
      <c r="AG222" s="194"/>
      <c r="AH222" s="5"/>
      <c r="AI222" s="47"/>
      <c r="AJ222" s="223"/>
      <c r="AK222" s="47"/>
      <c r="AL222" s="47"/>
      <c r="AM222" s="47"/>
      <c r="AN222" s="47"/>
      <c r="AO222" s="47"/>
      <c r="AP222" s="194"/>
      <c r="AQ222" s="47"/>
      <c r="AR222" s="47"/>
      <c r="AS222" s="47"/>
      <c r="AT222" s="194"/>
      <c r="AU222" s="194"/>
      <c r="AV222" s="194"/>
      <c r="AW222" s="194"/>
      <c r="AX222" s="194"/>
      <c r="AY222" s="194"/>
      <c r="AZ222" s="194"/>
      <c r="BA222" s="194"/>
      <c r="BB222" s="194"/>
      <c r="BC222" s="194"/>
      <c r="BD222" s="194"/>
      <c r="BE222" s="194"/>
      <c r="BF222" s="194"/>
      <c r="BG222" s="194"/>
      <c r="BH222" s="194"/>
      <c r="BI222" s="194"/>
      <c r="BJ222" s="194"/>
      <c r="BK222" s="194"/>
      <c r="BL222" s="194"/>
      <c r="BM222" s="194"/>
      <c r="BN222" s="194"/>
      <c r="BO222" s="194"/>
      <c r="BP222" s="194"/>
      <c r="BQ222" s="47"/>
      <c r="BR222" s="194"/>
      <c r="BS222" s="47"/>
      <c r="BT222" s="47"/>
      <c r="BU222" s="47"/>
      <c r="BV222" s="47"/>
      <c r="BW222" s="47"/>
      <c r="BX222" s="194"/>
      <c r="BY222" s="194"/>
      <c r="BZ222" s="194"/>
      <c r="CA222" s="194"/>
      <c r="CB222" s="194"/>
      <c r="CC222" s="47"/>
      <c r="CD222" s="47"/>
      <c r="CE222" s="47"/>
      <c r="CF222" s="47"/>
      <c r="CG222" s="47"/>
      <c r="CH222" s="47"/>
      <c r="CI222" s="47"/>
      <c r="CJ222" s="47"/>
      <c r="CK222" s="224"/>
      <c r="CL222" s="194"/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194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198"/>
      <c r="DX222" s="47"/>
      <c r="DY222" s="194"/>
      <c r="DZ222" s="47"/>
      <c r="EA222" s="47"/>
      <c r="EB222" s="194"/>
      <c r="EC222" s="47"/>
      <c r="ED222" s="195"/>
      <c r="EE222" s="195"/>
      <c r="EF222" s="195"/>
      <c r="EG222" s="195"/>
      <c r="EH222" s="195"/>
      <c r="EI222" s="196"/>
      <c r="EJ222" s="201"/>
      <c r="EK222" s="202"/>
      <c r="EL222" s="5"/>
      <c r="FA222" s="251">
        <f t="shared" si="14"/>
        <v>0</v>
      </c>
    </row>
    <row r="223" spans="1:157" s="1" customFormat="1" ht="20.149999999999999" customHeight="1" x14ac:dyDescent="0.35">
      <c r="A223" s="2"/>
      <c r="B223" s="189" t="s">
        <v>977</v>
      </c>
      <c r="C223" s="47" t="s">
        <v>186</v>
      </c>
      <c r="D223" s="2" t="s">
        <v>637</v>
      </c>
      <c r="E223" s="2" t="s">
        <v>53</v>
      </c>
      <c r="F223" s="48" t="s">
        <v>788</v>
      </c>
      <c r="G223" s="48" t="s">
        <v>302</v>
      </c>
      <c r="H223" s="57">
        <f>7.5/1000*800</f>
        <v>6</v>
      </c>
      <c r="I223" s="47"/>
      <c r="J223" s="47"/>
      <c r="K223" s="47"/>
      <c r="L223" s="47"/>
      <c r="M223" s="47"/>
      <c r="N223" s="194"/>
      <c r="O223" s="194"/>
      <c r="P223" s="194"/>
      <c r="Q223" s="194">
        <v>8.5</v>
      </c>
      <c r="R223" s="47"/>
      <c r="S223" s="194"/>
      <c r="T223" s="47"/>
      <c r="U223" s="194"/>
      <c r="V223" s="47"/>
      <c r="W223" s="194"/>
      <c r="X223" s="47"/>
      <c r="Y223" s="194"/>
      <c r="Z223" s="194"/>
      <c r="AA223" s="47"/>
      <c r="AB223" s="47"/>
      <c r="AC223" s="47"/>
      <c r="AD223" s="47"/>
      <c r="AE223" s="194"/>
      <c r="AF223" s="194"/>
      <c r="AG223" s="194"/>
      <c r="AH223" s="5"/>
      <c r="AI223" s="47"/>
      <c r="AJ223" s="223"/>
      <c r="AK223" s="47"/>
      <c r="AL223" s="47"/>
      <c r="AM223" s="47"/>
      <c r="AN223" s="47"/>
      <c r="AO223" s="47"/>
      <c r="AP223" s="194"/>
      <c r="AQ223" s="47"/>
      <c r="AR223" s="47"/>
      <c r="AS223" s="47"/>
      <c r="AT223" s="194"/>
      <c r="AU223" s="194"/>
      <c r="AV223" s="194"/>
      <c r="AW223" s="194"/>
      <c r="AX223" s="194"/>
      <c r="AY223" s="194"/>
      <c r="AZ223" s="194"/>
      <c r="BA223" s="194"/>
      <c r="BB223" s="194"/>
      <c r="BC223" s="194"/>
      <c r="BD223" s="194"/>
      <c r="BE223" s="194"/>
      <c r="BF223" s="194"/>
      <c r="BG223" s="194"/>
      <c r="BH223" s="194"/>
      <c r="BI223" s="194"/>
      <c r="BJ223" s="194"/>
      <c r="BK223" s="194"/>
      <c r="BL223" s="194"/>
      <c r="BM223" s="194"/>
      <c r="BN223" s="194"/>
      <c r="BO223" s="194"/>
      <c r="BP223" s="194"/>
      <c r="BQ223" s="47"/>
      <c r="BR223" s="194"/>
      <c r="BS223" s="47"/>
      <c r="BT223" s="47"/>
      <c r="BU223" s="47"/>
      <c r="BV223" s="47"/>
      <c r="BW223" s="47"/>
      <c r="BX223" s="194"/>
      <c r="BY223" s="194"/>
      <c r="BZ223" s="194"/>
      <c r="CA223" s="194"/>
      <c r="CB223" s="194"/>
      <c r="CC223" s="47"/>
      <c r="CD223" s="47"/>
      <c r="CE223" s="47"/>
      <c r="CF223" s="47"/>
      <c r="CG223" s="47"/>
      <c r="CH223" s="47"/>
      <c r="CI223" s="47"/>
      <c r="CJ223" s="47"/>
      <c r="CK223" s="224"/>
      <c r="CL223" s="194">
        <v>6.5</v>
      </c>
      <c r="CM223" s="47"/>
      <c r="CN223" s="47"/>
      <c r="CO223" s="47"/>
      <c r="CP223" s="47">
        <v>7</v>
      </c>
      <c r="CQ223" s="47"/>
      <c r="CR223" s="47"/>
      <c r="CS223" s="47"/>
      <c r="CT223" s="47"/>
      <c r="CU223" s="47"/>
      <c r="CV223" s="47"/>
      <c r="CW223" s="47"/>
      <c r="CX223" s="194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198"/>
      <c r="DX223" s="47"/>
      <c r="DY223" s="194"/>
      <c r="DZ223" s="47"/>
      <c r="EA223" s="47"/>
      <c r="EB223" s="194"/>
      <c r="EC223" s="47"/>
      <c r="ED223" s="195"/>
      <c r="EE223" s="195"/>
      <c r="EF223" s="195"/>
      <c r="EG223" s="195"/>
      <c r="EH223" s="195">
        <v>43</v>
      </c>
      <c r="EI223" s="196">
        <f t="shared" si="12"/>
        <v>258</v>
      </c>
      <c r="EJ223" s="201">
        <f t="shared" si="13"/>
        <v>7.62</v>
      </c>
      <c r="EK223" s="202">
        <f>AVERAGE(I223:EC223)</f>
        <v>7.333333333333333</v>
      </c>
      <c r="EL223" s="5"/>
      <c r="FA223" s="251">
        <f t="shared" si="14"/>
        <v>6</v>
      </c>
    </row>
    <row r="224" spans="1:157" s="1" customFormat="1" ht="20.149999999999999" customHeight="1" x14ac:dyDescent="0.35">
      <c r="A224" s="47"/>
      <c r="B224" s="189" t="s">
        <v>978</v>
      </c>
      <c r="C224" s="47" t="s">
        <v>1419</v>
      </c>
      <c r="D224" s="2" t="s">
        <v>637</v>
      </c>
      <c r="E224" s="2" t="s">
        <v>33</v>
      </c>
      <c r="F224" s="48" t="s">
        <v>48</v>
      </c>
      <c r="G224" s="48" t="s">
        <v>37</v>
      </c>
      <c r="H224" s="328">
        <f>2.9*5</f>
        <v>14.5</v>
      </c>
      <c r="I224" s="47"/>
      <c r="J224" s="47"/>
      <c r="K224" s="47"/>
      <c r="L224" s="47"/>
      <c r="M224" s="47"/>
      <c r="N224" s="194"/>
      <c r="O224" s="194"/>
      <c r="P224" s="194"/>
      <c r="Q224" s="194"/>
      <c r="R224" s="47"/>
      <c r="S224" s="194"/>
      <c r="T224" s="47"/>
      <c r="U224" s="194"/>
      <c r="V224" s="47"/>
      <c r="W224" s="194"/>
      <c r="X224" s="47">
        <v>19.5</v>
      </c>
      <c r="Y224" s="194"/>
      <c r="Z224" s="194"/>
      <c r="AA224" s="47"/>
      <c r="AB224" s="47"/>
      <c r="AC224" s="47"/>
      <c r="AD224" s="47"/>
      <c r="AE224" s="194"/>
      <c r="AF224" s="194"/>
      <c r="AG224" s="194"/>
      <c r="AH224" s="5"/>
      <c r="AI224" s="47"/>
      <c r="AJ224" s="198"/>
      <c r="AK224" s="47"/>
      <c r="AL224" s="47"/>
      <c r="AM224" s="47"/>
      <c r="AN224" s="47"/>
      <c r="AO224" s="47"/>
      <c r="AP224" s="194"/>
      <c r="AQ224" s="47"/>
      <c r="AR224" s="47"/>
      <c r="AS224" s="47"/>
      <c r="AT224" s="194"/>
      <c r="AU224" s="194"/>
      <c r="AV224" s="194"/>
      <c r="AW224" s="194"/>
      <c r="AX224" s="194"/>
      <c r="AY224" s="194"/>
      <c r="AZ224" s="194"/>
      <c r="BA224" s="194"/>
      <c r="BB224" s="194"/>
      <c r="BC224" s="194"/>
      <c r="BD224" s="194"/>
      <c r="BE224" s="194"/>
      <c r="BF224" s="194"/>
      <c r="BG224" s="194"/>
      <c r="BH224" s="194"/>
      <c r="BI224" s="194"/>
      <c r="BJ224" s="194"/>
      <c r="BK224" s="194"/>
      <c r="BL224" s="194"/>
      <c r="BM224" s="194"/>
      <c r="BN224" s="194"/>
      <c r="BO224" s="194"/>
      <c r="BP224" s="194"/>
      <c r="BQ224" s="47"/>
      <c r="BR224" s="194"/>
      <c r="BS224" s="47"/>
      <c r="BT224" s="47"/>
      <c r="BU224" s="47"/>
      <c r="BV224" s="47"/>
      <c r="BW224" s="47"/>
      <c r="BX224" s="194"/>
      <c r="BY224" s="194"/>
      <c r="BZ224" s="194"/>
      <c r="CA224" s="194"/>
      <c r="CB224" s="194"/>
      <c r="CC224" s="47"/>
      <c r="CD224" s="47"/>
      <c r="CE224" s="47"/>
      <c r="CF224" s="47"/>
      <c r="CG224" s="47">
        <v>19</v>
      </c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194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198"/>
      <c r="DX224" s="47"/>
      <c r="DY224" s="194"/>
      <c r="DZ224" s="47"/>
      <c r="EA224" s="47"/>
      <c r="EB224" s="194"/>
      <c r="EC224" s="47"/>
      <c r="ED224" s="195"/>
      <c r="EE224" s="195"/>
      <c r="EF224" s="195"/>
      <c r="EG224" s="195"/>
      <c r="EH224" s="195">
        <v>2</v>
      </c>
      <c r="EI224" s="196">
        <f t="shared" si="12"/>
        <v>29</v>
      </c>
      <c r="EJ224" s="201">
        <f t="shared" si="13"/>
        <v>18.414999999999999</v>
      </c>
      <c r="EK224" s="202">
        <v>14</v>
      </c>
      <c r="EL224" s="5"/>
      <c r="FA224" s="251">
        <f t="shared" si="14"/>
        <v>14.5</v>
      </c>
    </row>
    <row r="225" spans="1:157" s="1" customFormat="1" ht="20.149999999999999" customHeight="1" x14ac:dyDescent="0.35">
      <c r="A225" s="2"/>
      <c r="B225" s="189" t="s">
        <v>979</v>
      </c>
      <c r="C225" s="47" t="s">
        <v>1419</v>
      </c>
      <c r="D225" s="2" t="s">
        <v>637</v>
      </c>
      <c r="E225" s="2" t="s">
        <v>33</v>
      </c>
      <c r="F225" s="48" t="s">
        <v>733</v>
      </c>
      <c r="G225" s="48" t="s">
        <v>37</v>
      </c>
      <c r="H225" s="328">
        <f>H226*2</f>
        <v>5.8</v>
      </c>
      <c r="I225" s="47"/>
      <c r="J225" s="47"/>
      <c r="K225" s="47"/>
      <c r="L225" s="47"/>
      <c r="M225" s="47"/>
      <c r="N225" s="194"/>
      <c r="O225" s="194"/>
      <c r="P225" s="194"/>
      <c r="Q225" s="194"/>
      <c r="R225" s="47"/>
      <c r="S225" s="194"/>
      <c r="T225" s="47"/>
      <c r="U225" s="194"/>
      <c r="V225" s="47"/>
      <c r="W225" s="194"/>
      <c r="X225" s="47"/>
      <c r="Y225" s="194"/>
      <c r="Z225" s="194"/>
      <c r="AA225" s="47"/>
      <c r="AB225" s="47"/>
      <c r="AC225" s="47"/>
      <c r="AD225" s="47"/>
      <c r="AE225" s="194"/>
      <c r="AF225" s="194"/>
      <c r="AG225" s="194"/>
      <c r="AH225" s="5"/>
      <c r="AI225" s="47"/>
      <c r="AJ225" s="223"/>
      <c r="AK225" s="47"/>
      <c r="AL225" s="47"/>
      <c r="AM225" s="47"/>
      <c r="AN225" s="47"/>
      <c r="AO225" s="47"/>
      <c r="AP225" s="194"/>
      <c r="AQ225" s="47"/>
      <c r="AR225" s="47"/>
      <c r="AS225" s="47"/>
      <c r="AT225" s="194"/>
      <c r="AU225" s="194"/>
      <c r="AV225" s="194"/>
      <c r="AW225" s="194"/>
      <c r="AX225" s="194"/>
      <c r="AY225" s="194"/>
      <c r="AZ225" s="194"/>
      <c r="BA225" s="194"/>
      <c r="BB225" s="194"/>
      <c r="BC225" s="194"/>
      <c r="BD225" s="194"/>
      <c r="BE225" s="194"/>
      <c r="BF225" s="194"/>
      <c r="BG225" s="194"/>
      <c r="BH225" s="194"/>
      <c r="BI225" s="194"/>
      <c r="BJ225" s="194"/>
      <c r="BK225" s="194"/>
      <c r="BL225" s="194"/>
      <c r="BM225" s="194"/>
      <c r="BN225" s="194"/>
      <c r="BO225" s="194"/>
      <c r="BP225" s="194"/>
      <c r="BQ225" s="47"/>
      <c r="BR225" s="194"/>
      <c r="BS225" s="47"/>
      <c r="BT225" s="47"/>
      <c r="BU225" s="47"/>
      <c r="BV225" s="47"/>
      <c r="BW225" s="47"/>
      <c r="BX225" s="194"/>
      <c r="BY225" s="194"/>
      <c r="BZ225" s="194"/>
      <c r="CA225" s="194"/>
      <c r="CB225" s="194"/>
      <c r="CC225" s="47"/>
      <c r="CD225" s="47"/>
      <c r="CE225" s="47"/>
      <c r="CF225" s="47"/>
      <c r="CG225" s="47"/>
      <c r="CH225" s="47"/>
      <c r="CI225" s="47"/>
      <c r="CJ225" s="47"/>
      <c r="CK225" s="224"/>
      <c r="CL225" s="321">
        <v>7.5</v>
      </c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194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>
        <v>7</v>
      </c>
      <c r="DV225" s="47"/>
      <c r="DW225" s="198"/>
      <c r="DX225" s="47"/>
      <c r="DY225" s="194"/>
      <c r="DZ225" s="47"/>
      <c r="EA225" s="47"/>
      <c r="EB225" s="194"/>
      <c r="EC225" s="47"/>
      <c r="ED225" s="195"/>
      <c r="EE225" s="195"/>
      <c r="EF225" s="195"/>
      <c r="EG225" s="195"/>
      <c r="EH225" s="195">
        <v>3</v>
      </c>
      <c r="EI225" s="196">
        <f t="shared" si="12"/>
        <v>17.399999999999999</v>
      </c>
      <c r="EJ225" s="201">
        <f t="shared" si="13"/>
        <v>7.3659999999999997</v>
      </c>
      <c r="EK225" s="202">
        <v>5.6</v>
      </c>
      <c r="EL225" s="5"/>
      <c r="FA225" s="251">
        <f t="shared" si="14"/>
        <v>5.8</v>
      </c>
    </row>
    <row r="226" spans="1:157" s="1" customFormat="1" ht="20.149999999999999" customHeight="1" x14ac:dyDescent="0.35">
      <c r="A226" s="2"/>
      <c r="B226" s="189" t="s">
        <v>1280</v>
      </c>
      <c r="C226" s="47" t="s">
        <v>1419</v>
      </c>
      <c r="D226" s="2" t="s">
        <v>637</v>
      </c>
      <c r="E226" s="2" t="s">
        <v>33</v>
      </c>
      <c r="F226" s="48" t="s">
        <v>65</v>
      </c>
      <c r="G226" s="48" t="s">
        <v>37</v>
      </c>
      <c r="H226" s="328">
        <v>2.9</v>
      </c>
      <c r="I226" s="47"/>
      <c r="J226" s="47"/>
      <c r="K226" s="47"/>
      <c r="L226" s="47"/>
      <c r="M226" s="47"/>
      <c r="N226" s="194"/>
      <c r="O226" s="194"/>
      <c r="P226" s="194"/>
      <c r="Q226" s="194"/>
      <c r="R226" s="47"/>
      <c r="S226" s="194"/>
      <c r="T226" s="47"/>
      <c r="U226" s="194"/>
      <c r="V226" s="47"/>
      <c r="W226" s="194"/>
      <c r="X226" s="47"/>
      <c r="Y226" s="194"/>
      <c r="Z226" s="194"/>
      <c r="AA226" s="47"/>
      <c r="AB226" s="47"/>
      <c r="AC226" s="47"/>
      <c r="AD226" s="47"/>
      <c r="AE226" s="194"/>
      <c r="AF226" s="194"/>
      <c r="AG226" s="194"/>
      <c r="AH226" s="5"/>
      <c r="AI226" s="47"/>
      <c r="AJ226" s="223"/>
      <c r="AK226" s="47"/>
      <c r="AL226" s="47"/>
      <c r="AM226" s="47"/>
      <c r="AN226" s="47"/>
      <c r="AO226" s="47"/>
      <c r="AP226" s="194"/>
      <c r="AQ226" s="47"/>
      <c r="AR226" s="47"/>
      <c r="AS226" s="47"/>
      <c r="AT226" s="194"/>
      <c r="AU226" s="194"/>
      <c r="AV226" s="194"/>
      <c r="AW226" s="194"/>
      <c r="AX226" s="194"/>
      <c r="AY226" s="194"/>
      <c r="AZ226" s="194"/>
      <c r="BA226" s="194"/>
      <c r="BB226" s="194"/>
      <c r="BC226" s="194"/>
      <c r="BD226" s="194"/>
      <c r="BE226" s="194"/>
      <c r="BF226" s="194"/>
      <c r="BG226" s="194"/>
      <c r="BH226" s="194"/>
      <c r="BI226" s="194"/>
      <c r="BJ226" s="194"/>
      <c r="BK226" s="194"/>
      <c r="BL226" s="194"/>
      <c r="BM226" s="194"/>
      <c r="BN226" s="194"/>
      <c r="BO226" s="194"/>
      <c r="BP226" s="194"/>
      <c r="BQ226" s="47"/>
      <c r="BR226" s="194"/>
      <c r="BS226" s="47"/>
      <c r="BT226" s="47"/>
      <c r="BU226" s="47"/>
      <c r="BV226" s="47"/>
      <c r="BW226" s="47"/>
      <c r="BX226" s="194"/>
      <c r="BY226" s="194"/>
      <c r="BZ226" s="194"/>
      <c r="CA226" s="194"/>
      <c r="CB226" s="194"/>
      <c r="CC226" s="47"/>
      <c r="CD226" s="47"/>
      <c r="CE226" s="47"/>
      <c r="CF226" s="47"/>
      <c r="CG226" s="47"/>
      <c r="CH226" s="47"/>
      <c r="CI226" s="47"/>
      <c r="CJ226" s="47"/>
      <c r="CK226" s="224"/>
      <c r="CL226" s="194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194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198"/>
      <c r="DX226" s="47"/>
      <c r="DY226" s="194"/>
      <c r="DZ226" s="47"/>
      <c r="EA226" s="47"/>
      <c r="EB226" s="194"/>
      <c r="EC226" s="47"/>
      <c r="ED226" s="195"/>
      <c r="EE226" s="195"/>
      <c r="EF226" s="195"/>
      <c r="EG226" s="195"/>
      <c r="EH226" s="195"/>
      <c r="EI226" s="196"/>
      <c r="EJ226" s="201"/>
      <c r="EK226" s="202"/>
      <c r="EL226" s="5"/>
      <c r="FA226" s="251">
        <f t="shared" si="14"/>
        <v>2.9</v>
      </c>
    </row>
    <row r="227" spans="1:157" s="1" customFormat="1" ht="20.149999999999999" customHeight="1" x14ac:dyDescent="0.45">
      <c r="A227" s="47"/>
      <c r="B227" s="189" t="s">
        <v>980</v>
      </c>
      <c r="C227" s="47" t="s">
        <v>775</v>
      </c>
      <c r="D227" s="2" t="s">
        <v>637</v>
      </c>
      <c r="E227" s="185"/>
      <c r="F227" s="48" t="s">
        <v>51</v>
      </c>
      <c r="G227" s="48" t="s">
        <v>35</v>
      </c>
      <c r="H227" s="57"/>
      <c r="I227" s="47"/>
      <c r="J227" s="47"/>
      <c r="K227" s="47"/>
      <c r="L227" s="47"/>
      <c r="M227" s="47"/>
      <c r="N227" s="194"/>
      <c r="O227" s="194"/>
      <c r="P227" s="194"/>
      <c r="Q227" s="194"/>
      <c r="R227" s="47"/>
      <c r="S227" s="194"/>
      <c r="T227" s="47"/>
      <c r="U227" s="194"/>
      <c r="V227" s="47"/>
      <c r="W227" s="194"/>
      <c r="X227" s="47"/>
      <c r="Y227" s="194"/>
      <c r="Z227" s="194"/>
      <c r="AA227" s="47"/>
      <c r="AB227" s="47"/>
      <c r="AC227" s="47"/>
      <c r="AD227" s="47"/>
      <c r="AE227" s="194"/>
      <c r="AF227" s="194"/>
      <c r="AG227" s="194"/>
      <c r="AH227" s="5"/>
      <c r="AI227" s="47"/>
      <c r="AJ227" s="223"/>
      <c r="AK227" s="47"/>
      <c r="AL227" s="47"/>
      <c r="AM227" s="47"/>
      <c r="AN227" s="47"/>
      <c r="AO227" s="47"/>
      <c r="AP227" s="194"/>
      <c r="AQ227" s="47"/>
      <c r="AR227" s="47"/>
      <c r="AS227" s="47"/>
      <c r="AT227" s="194"/>
      <c r="AU227" s="194"/>
      <c r="AV227" s="194"/>
      <c r="AW227" s="194"/>
      <c r="AX227" s="194"/>
      <c r="AY227" s="194"/>
      <c r="AZ227" s="194"/>
      <c r="BA227" s="194"/>
      <c r="BB227" s="194"/>
      <c r="BC227" s="194"/>
      <c r="BD227" s="194"/>
      <c r="BE227" s="194"/>
      <c r="BF227" s="194"/>
      <c r="BG227" s="194"/>
      <c r="BH227" s="194"/>
      <c r="BI227" s="194"/>
      <c r="BJ227" s="194"/>
      <c r="BK227" s="194"/>
      <c r="BL227" s="194"/>
      <c r="BM227" s="194"/>
      <c r="BN227" s="194"/>
      <c r="BO227" s="194"/>
      <c r="BP227" s="194"/>
      <c r="BQ227" s="47"/>
      <c r="BR227" s="194"/>
      <c r="BS227" s="47"/>
      <c r="BT227" s="47"/>
      <c r="BU227" s="47"/>
      <c r="BV227" s="47"/>
      <c r="BW227" s="47"/>
      <c r="BX227" s="194"/>
      <c r="BY227" s="194"/>
      <c r="BZ227" s="194"/>
      <c r="CA227" s="194"/>
      <c r="CB227" s="194"/>
      <c r="CC227" s="47"/>
      <c r="CD227" s="47"/>
      <c r="CE227" s="47"/>
      <c r="CF227" s="47"/>
      <c r="CG227" s="47"/>
      <c r="CH227" s="47"/>
      <c r="CI227" s="47"/>
      <c r="CJ227" s="47"/>
      <c r="CK227" s="224"/>
      <c r="CL227" s="194"/>
      <c r="CM227" s="47"/>
      <c r="CN227" s="47"/>
      <c r="CO227" s="47"/>
      <c r="CP227" s="47"/>
      <c r="CQ227" s="47"/>
      <c r="CR227" s="47"/>
      <c r="CS227" s="47"/>
      <c r="CT227" s="47"/>
      <c r="CU227" s="47"/>
      <c r="CV227" s="47"/>
      <c r="CW227" s="47"/>
      <c r="CX227" s="194"/>
      <c r="CY227" s="47"/>
      <c r="CZ227" s="47"/>
      <c r="DA227" s="47"/>
      <c r="DB227" s="47"/>
      <c r="DC227" s="47"/>
      <c r="DD227" s="47"/>
      <c r="DE227" s="47"/>
      <c r="DF227" s="47"/>
      <c r="DG227" s="47"/>
      <c r="DH227" s="47"/>
      <c r="DI227" s="47"/>
      <c r="DJ227" s="47"/>
      <c r="DK227" s="47"/>
      <c r="DL227" s="47"/>
      <c r="DM227" s="47"/>
      <c r="DN227" s="47"/>
      <c r="DO227" s="47"/>
      <c r="DP227" s="47"/>
      <c r="DQ227" s="47"/>
      <c r="DR227" s="47"/>
      <c r="DS227" s="47"/>
      <c r="DT227" s="47"/>
      <c r="DU227" s="47"/>
      <c r="DV227" s="47"/>
      <c r="DW227" s="198"/>
      <c r="DX227" s="47"/>
      <c r="DY227" s="194"/>
      <c r="DZ227" s="47"/>
      <c r="EA227" s="47"/>
      <c r="EB227" s="194"/>
      <c r="EC227" s="47"/>
      <c r="ED227" s="195"/>
      <c r="EE227" s="195"/>
      <c r="EF227" s="195"/>
      <c r="EG227" s="195"/>
      <c r="EH227" s="195">
        <v>1</v>
      </c>
      <c r="EI227" s="196">
        <f t="shared" si="12"/>
        <v>0</v>
      </c>
      <c r="EJ227" s="201">
        <f t="shared" si="13"/>
        <v>0</v>
      </c>
      <c r="EK227" s="202">
        <v>18</v>
      </c>
      <c r="EL227" s="5"/>
      <c r="FA227" s="251">
        <f t="shared" si="14"/>
        <v>0</v>
      </c>
    </row>
    <row r="228" spans="1:157" s="1" customFormat="1" ht="20.149999999999999" customHeight="1" x14ac:dyDescent="0.35">
      <c r="A228" s="2"/>
      <c r="B228" s="189" t="s">
        <v>981</v>
      </c>
      <c r="C228" s="47" t="s">
        <v>190</v>
      </c>
      <c r="D228" s="2" t="s">
        <v>637</v>
      </c>
      <c r="E228" s="2" t="s">
        <v>33</v>
      </c>
      <c r="F228" s="48" t="s">
        <v>31</v>
      </c>
      <c r="G228" s="48" t="s">
        <v>37</v>
      </c>
      <c r="H228" s="57">
        <v>19</v>
      </c>
      <c r="I228" s="47"/>
      <c r="J228" s="47"/>
      <c r="K228" s="47"/>
      <c r="L228" s="47"/>
      <c r="M228" s="47"/>
      <c r="N228" s="194"/>
      <c r="O228" s="194"/>
      <c r="P228" s="194"/>
      <c r="Q228" s="194"/>
      <c r="R228" s="47"/>
      <c r="S228" s="194">
        <v>55</v>
      </c>
      <c r="T228" s="47"/>
      <c r="U228" s="194"/>
      <c r="V228" s="47"/>
      <c r="W228" s="194"/>
      <c r="X228" s="47">
        <v>55</v>
      </c>
      <c r="Y228" s="194"/>
      <c r="Z228" s="194"/>
      <c r="AA228" s="47"/>
      <c r="AB228" s="47"/>
      <c r="AC228" s="47"/>
      <c r="AD228" s="47"/>
      <c r="AE228" s="194"/>
      <c r="AF228" s="194"/>
      <c r="AG228" s="194"/>
      <c r="AH228" s="5"/>
      <c r="AI228" s="47"/>
      <c r="AJ228" s="223"/>
      <c r="AK228" s="47"/>
      <c r="AL228" s="47">
        <v>55</v>
      </c>
      <c r="AM228" s="47"/>
      <c r="AN228" s="47"/>
      <c r="AO228" s="47"/>
      <c r="AP228" s="194"/>
      <c r="AQ228" s="47"/>
      <c r="AR228" s="47"/>
      <c r="AS228" s="47"/>
      <c r="AT228" s="194"/>
      <c r="AU228" s="194"/>
      <c r="AV228" s="194"/>
      <c r="AW228" s="194"/>
      <c r="AX228" s="194"/>
      <c r="AY228" s="194"/>
      <c r="AZ228" s="194"/>
      <c r="BA228" s="194"/>
      <c r="BB228" s="194"/>
      <c r="BC228" s="194"/>
      <c r="BD228" s="194"/>
      <c r="BE228" s="194"/>
      <c r="BF228" s="194"/>
      <c r="BG228" s="194"/>
      <c r="BH228" s="194"/>
      <c r="BI228" s="194"/>
      <c r="BJ228" s="194"/>
      <c r="BK228" s="194"/>
      <c r="BL228" s="194"/>
      <c r="BM228" s="194"/>
      <c r="BN228" s="194"/>
      <c r="BO228" s="194"/>
      <c r="BP228" s="194"/>
      <c r="BQ228" s="47"/>
      <c r="BR228" s="194"/>
      <c r="BS228" s="47">
        <v>55</v>
      </c>
      <c r="BT228" s="47"/>
      <c r="BU228" s="47"/>
      <c r="BV228" s="47"/>
      <c r="BW228" s="47"/>
      <c r="BX228" s="194"/>
      <c r="BY228" s="194"/>
      <c r="BZ228" s="194"/>
      <c r="CA228" s="194"/>
      <c r="CB228" s="194"/>
      <c r="CC228" s="47"/>
      <c r="CD228" s="47"/>
      <c r="CE228" s="47"/>
      <c r="CF228" s="47"/>
      <c r="CG228" s="47">
        <v>55</v>
      </c>
      <c r="CH228" s="47"/>
      <c r="CI228" s="47"/>
      <c r="CJ228" s="47"/>
      <c r="CK228" s="194"/>
      <c r="CL228" s="194"/>
      <c r="CM228" s="47"/>
      <c r="CN228" s="47"/>
      <c r="CO228" s="47"/>
      <c r="CP228" s="47"/>
      <c r="CQ228" s="47">
        <v>55</v>
      </c>
      <c r="CR228" s="47"/>
      <c r="CS228" s="47"/>
      <c r="CT228" s="47"/>
      <c r="CU228" s="47"/>
      <c r="CV228" s="47">
        <v>26</v>
      </c>
      <c r="CW228" s="47"/>
      <c r="CX228" s="194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198"/>
      <c r="DX228" s="47"/>
      <c r="DY228" s="194"/>
      <c r="DZ228" s="47"/>
      <c r="EA228" s="47"/>
      <c r="EB228" s="194"/>
      <c r="EC228" s="47"/>
      <c r="ED228" s="195"/>
      <c r="EE228" s="195"/>
      <c r="EF228" s="195"/>
      <c r="EG228" s="195"/>
      <c r="EH228" s="195">
        <v>5</v>
      </c>
      <c r="EI228" s="196">
        <f t="shared" si="12"/>
        <v>95</v>
      </c>
      <c r="EJ228" s="201">
        <f t="shared" si="13"/>
        <v>24.13</v>
      </c>
      <c r="EK228" s="202">
        <v>25</v>
      </c>
      <c r="EL228" s="5"/>
      <c r="FA228" s="251">
        <f t="shared" si="14"/>
        <v>19</v>
      </c>
    </row>
    <row r="229" spans="1:157" s="1" customFormat="1" ht="20.149999999999999" customHeight="1" x14ac:dyDescent="0.35">
      <c r="A229" s="2"/>
      <c r="B229" s="189" t="s">
        <v>982</v>
      </c>
      <c r="C229" s="47" t="s">
        <v>192</v>
      </c>
      <c r="D229" s="2" t="s">
        <v>637</v>
      </c>
      <c r="E229" s="48" t="s">
        <v>100</v>
      </c>
      <c r="F229" s="48" t="s">
        <v>810</v>
      </c>
      <c r="G229" s="48" t="s">
        <v>32</v>
      </c>
      <c r="H229" s="328">
        <v>128</v>
      </c>
      <c r="I229" s="47"/>
      <c r="J229" s="47"/>
      <c r="K229" s="47"/>
      <c r="L229" s="47"/>
      <c r="M229" s="47"/>
      <c r="N229" s="194"/>
      <c r="O229" s="194"/>
      <c r="P229" s="194"/>
      <c r="Q229" s="194"/>
      <c r="R229" s="47"/>
      <c r="S229" s="194"/>
      <c r="T229" s="47"/>
      <c r="U229" s="194"/>
      <c r="V229" s="47"/>
      <c r="W229" s="194"/>
      <c r="X229" s="47"/>
      <c r="Y229" s="194"/>
      <c r="Z229" s="194"/>
      <c r="AA229" s="47"/>
      <c r="AB229" s="47"/>
      <c r="AC229" s="47"/>
      <c r="AD229" s="47"/>
      <c r="AE229" s="194"/>
      <c r="AF229" s="194"/>
      <c r="AG229" s="194"/>
      <c r="AH229" s="5"/>
      <c r="AI229" s="47"/>
      <c r="AJ229" s="223"/>
      <c r="AK229" s="47"/>
      <c r="AL229" s="47"/>
      <c r="AM229" s="47"/>
      <c r="AN229" s="47"/>
      <c r="AO229" s="47"/>
      <c r="AP229" s="194"/>
      <c r="AQ229" s="47"/>
      <c r="AR229" s="47"/>
      <c r="AS229" s="47"/>
      <c r="AT229" s="194"/>
      <c r="AU229" s="194"/>
      <c r="AV229" s="194"/>
      <c r="AW229" s="194"/>
      <c r="AX229" s="194"/>
      <c r="AY229" s="194"/>
      <c r="AZ229" s="194"/>
      <c r="BA229" s="194"/>
      <c r="BB229" s="194"/>
      <c r="BC229" s="194"/>
      <c r="BD229" s="194"/>
      <c r="BE229" s="194"/>
      <c r="BF229" s="194"/>
      <c r="BG229" s="194"/>
      <c r="BH229" s="194"/>
      <c r="BI229" s="194"/>
      <c r="BJ229" s="194"/>
      <c r="BK229" s="194"/>
      <c r="BL229" s="194"/>
      <c r="BM229" s="194"/>
      <c r="BN229" s="194"/>
      <c r="BO229" s="194"/>
      <c r="BP229" s="194"/>
      <c r="BQ229" s="47"/>
      <c r="BR229" s="194"/>
      <c r="BS229" s="47"/>
      <c r="BT229" s="47"/>
      <c r="BU229" s="47"/>
      <c r="BV229" s="47"/>
      <c r="BW229" s="47"/>
      <c r="BX229" s="194"/>
      <c r="BY229" s="194"/>
      <c r="BZ229" s="194"/>
      <c r="CA229" s="194"/>
      <c r="CB229" s="194"/>
      <c r="CC229" s="47"/>
      <c r="CD229" s="47"/>
      <c r="CE229" s="47"/>
      <c r="CF229" s="47"/>
      <c r="CG229" s="47"/>
      <c r="CH229" s="47"/>
      <c r="CI229" s="47"/>
      <c r="CJ229" s="47"/>
      <c r="CK229" s="194"/>
      <c r="CL229" s="194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194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198"/>
      <c r="DX229" s="47"/>
      <c r="DY229" s="194"/>
      <c r="DZ229" s="47"/>
      <c r="EA229" s="47"/>
      <c r="EB229" s="194"/>
      <c r="EC229" s="47"/>
      <c r="ED229" s="195"/>
      <c r="EE229" s="195"/>
      <c r="EF229" s="195"/>
      <c r="EG229" s="195"/>
      <c r="EH229" s="195">
        <v>5</v>
      </c>
      <c r="EI229" s="196">
        <f t="shared" si="12"/>
        <v>640</v>
      </c>
      <c r="EJ229" s="201">
        <f t="shared" si="13"/>
        <v>162.56</v>
      </c>
      <c r="EK229" s="202">
        <v>0</v>
      </c>
      <c r="EL229" s="5"/>
      <c r="FA229" s="251">
        <f t="shared" si="14"/>
        <v>128</v>
      </c>
    </row>
    <row r="230" spans="1:157" s="1" customFormat="1" ht="20.149999999999999" customHeight="1" x14ac:dyDescent="0.35">
      <c r="A230" s="2"/>
      <c r="B230" s="189" t="s">
        <v>983</v>
      </c>
      <c r="C230" s="47" t="s">
        <v>192</v>
      </c>
      <c r="D230" s="2" t="s">
        <v>637</v>
      </c>
      <c r="E230" s="48" t="s">
        <v>100</v>
      </c>
      <c r="F230" s="48" t="s">
        <v>411</v>
      </c>
      <c r="G230" s="48" t="s">
        <v>37</v>
      </c>
      <c r="H230" s="328">
        <f>H229/60</f>
        <v>2.1333333333333333</v>
      </c>
      <c r="I230" s="47"/>
      <c r="J230" s="47"/>
      <c r="K230" s="47"/>
      <c r="L230" s="47"/>
      <c r="M230" s="47"/>
      <c r="N230" s="194"/>
      <c r="O230" s="194"/>
      <c r="P230" s="194"/>
      <c r="Q230" s="194"/>
      <c r="R230" s="47"/>
      <c r="S230" s="194"/>
      <c r="T230" s="47"/>
      <c r="U230" s="194"/>
      <c r="V230" s="47"/>
      <c r="W230" s="194"/>
      <c r="X230" s="47"/>
      <c r="Y230" s="194"/>
      <c r="Z230" s="194"/>
      <c r="AA230" s="47"/>
      <c r="AB230" s="47"/>
      <c r="AC230" s="47"/>
      <c r="AD230" s="47"/>
      <c r="AE230" s="194"/>
      <c r="AF230" s="194"/>
      <c r="AG230" s="194"/>
      <c r="AH230" s="5"/>
      <c r="AI230" s="47"/>
      <c r="AJ230" s="223"/>
      <c r="AK230" s="47"/>
      <c r="AL230" s="47"/>
      <c r="AM230" s="47"/>
      <c r="AN230" s="47"/>
      <c r="AO230" s="47"/>
      <c r="AP230" s="194"/>
      <c r="AQ230" s="47"/>
      <c r="AR230" s="47"/>
      <c r="AS230" s="47"/>
      <c r="AT230" s="194">
        <v>2.5</v>
      </c>
      <c r="AU230" s="194"/>
      <c r="AV230" s="194"/>
      <c r="AW230" s="194"/>
      <c r="AX230" s="194"/>
      <c r="AY230" s="194"/>
      <c r="AZ230" s="194"/>
      <c r="BA230" s="194"/>
      <c r="BB230" s="194"/>
      <c r="BC230" s="194"/>
      <c r="BD230" s="194"/>
      <c r="BE230" s="194"/>
      <c r="BF230" s="194"/>
      <c r="BG230" s="194"/>
      <c r="BH230" s="194"/>
      <c r="BI230" s="194"/>
      <c r="BJ230" s="194"/>
      <c r="BK230" s="194"/>
      <c r="BL230" s="194"/>
      <c r="BM230" s="194"/>
      <c r="BN230" s="194"/>
      <c r="BO230" s="194"/>
      <c r="BP230" s="194"/>
      <c r="BQ230" s="47"/>
      <c r="BR230" s="194"/>
      <c r="BS230" s="47"/>
      <c r="BT230" s="47"/>
      <c r="BU230" s="47"/>
      <c r="BV230" s="47"/>
      <c r="BW230" s="47"/>
      <c r="BX230" s="194">
        <v>2.6</v>
      </c>
      <c r="BY230" s="194"/>
      <c r="BZ230" s="194"/>
      <c r="CA230" s="194"/>
      <c r="CB230" s="194"/>
      <c r="CC230" s="47"/>
      <c r="CD230" s="47">
        <v>2.5</v>
      </c>
      <c r="CE230" s="47"/>
      <c r="CF230" s="47"/>
      <c r="CG230" s="47">
        <v>2.6</v>
      </c>
      <c r="CH230" s="47"/>
      <c r="CI230" s="47"/>
      <c r="CJ230" s="47"/>
      <c r="CK230" s="224"/>
      <c r="CL230" s="194"/>
      <c r="CM230" s="47"/>
      <c r="CN230" s="47"/>
      <c r="CO230" s="47"/>
      <c r="CP230" s="47"/>
      <c r="CQ230" s="47">
        <v>2.5</v>
      </c>
      <c r="CR230" s="47"/>
      <c r="CS230" s="198">
        <v>2.7</v>
      </c>
      <c r="CT230" s="47"/>
      <c r="CU230" s="47"/>
      <c r="CV230" s="47"/>
      <c r="CW230" s="47"/>
      <c r="CX230" s="194"/>
      <c r="CY230" s="47"/>
      <c r="CZ230" s="47">
        <v>2.7</v>
      </c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198"/>
      <c r="DX230" s="47"/>
      <c r="DY230" s="194"/>
      <c r="DZ230" s="47"/>
      <c r="EA230" s="47"/>
      <c r="EB230" s="194"/>
      <c r="EC230" s="47"/>
      <c r="ED230" s="195"/>
      <c r="EE230" s="195"/>
      <c r="EF230" s="195"/>
      <c r="EG230" s="195"/>
      <c r="EH230" s="195">
        <f>10*10</f>
        <v>100</v>
      </c>
      <c r="EI230" s="196">
        <f t="shared" si="12"/>
        <v>213.33333333333334</v>
      </c>
      <c r="EJ230" s="201">
        <f t="shared" si="13"/>
        <v>2.7093333333333334</v>
      </c>
      <c r="EK230" s="202">
        <v>2.2000000000000002</v>
      </c>
      <c r="EL230" s="5"/>
      <c r="FA230" s="251">
        <f t="shared" si="14"/>
        <v>2.1333333333333333</v>
      </c>
    </row>
    <row r="231" spans="1:157" s="1" customFormat="1" ht="20.149999999999999" customHeight="1" x14ac:dyDescent="0.35">
      <c r="A231" s="2"/>
      <c r="B231" s="189" t="s">
        <v>1260</v>
      </c>
      <c r="C231" s="47" t="s">
        <v>192</v>
      </c>
      <c r="D231" s="2" t="s">
        <v>637</v>
      </c>
      <c r="E231" s="48"/>
      <c r="F231" s="48" t="s">
        <v>1261</v>
      </c>
      <c r="G231" s="48" t="s">
        <v>37</v>
      </c>
      <c r="H231" s="223"/>
      <c r="I231" s="47"/>
      <c r="J231" s="47"/>
      <c r="K231" s="47"/>
      <c r="L231" s="47"/>
      <c r="M231" s="47"/>
      <c r="N231" s="194"/>
      <c r="O231" s="194"/>
      <c r="P231" s="194"/>
      <c r="Q231" s="194"/>
      <c r="R231" s="47"/>
      <c r="S231" s="194"/>
      <c r="T231" s="47"/>
      <c r="U231" s="194"/>
      <c r="V231" s="47"/>
      <c r="W231" s="194"/>
      <c r="X231" s="47"/>
      <c r="Y231" s="194"/>
      <c r="Z231" s="194"/>
      <c r="AA231" s="47"/>
      <c r="AB231" s="47"/>
      <c r="AC231" s="47"/>
      <c r="AD231" s="47"/>
      <c r="AE231" s="194"/>
      <c r="AF231" s="194"/>
      <c r="AG231" s="194"/>
      <c r="AH231" s="5"/>
      <c r="AI231" s="47"/>
      <c r="AJ231" s="223"/>
      <c r="AK231" s="47"/>
      <c r="AL231" s="47"/>
      <c r="AM231" s="47"/>
      <c r="AN231" s="47"/>
      <c r="AO231" s="47"/>
      <c r="AP231" s="194"/>
      <c r="AQ231" s="47"/>
      <c r="AR231" s="47"/>
      <c r="AS231" s="47"/>
      <c r="AT231" s="194"/>
      <c r="AU231" s="194"/>
      <c r="AV231" s="194"/>
      <c r="AW231" s="194"/>
      <c r="AX231" s="194"/>
      <c r="AY231" s="194"/>
      <c r="AZ231" s="194"/>
      <c r="BA231" s="194"/>
      <c r="BB231" s="194"/>
      <c r="BC231" s="194"/>
      <c r="BD231" s="194"/>
      <c r="BE231" s="194"/>
      <c r="BF231" s="194"/>
      <c r="BG231" s="194"/>
      <c r="BH231" s="194"/>
      <c r="BI231" s="194"/>
      <c r="BJ231" s="194"/>
      <c r="BK231" s="194"/>
      <c r="BL231" s="194"/>
      <c r="BM231" s="194"/>
      <c r="BN231" s="194"/>
      <c r="BO231" s="194"/>
      <c r="BP231" s="194"/>
      <c r="BQ231" s="47"/>
      <c r="BR231" s="194"/>
      <c r="BS231" s="47"/>
      <c r="BT231" s="47"/>
      <c r="BU231" s="47"/>
      <c r="BV231" s="47"/>
      <c r="BW231" s="47"/>
      <c r="BX231" s="194"/>
      <c r="BY231" s="194"/>
      <c r="BZ231" s="194"/>
      <c r="CA231" s="194"/>
      <c r="CB231" s="194"/>
      <c r="CC231" s="47"/>
      <c r="CD231" s="47"/>
      <c r="CE231" s="47"/>
      <c r="CF231" s="47"/>
      <c r="CG231" s="47"/>
      <c r="CH231" s="47"/>
      <c r="CI231" s="47"/>
      <c r="CJ231" s="47"/>
      <c r="CK231" s="224"/>
      <c r="CL231" s="194"/>
      <c r="CM231" s="47"/>
      <c r="CN231" s="47"/>
      <c r="CO231" s="47"/>
      <c r="CP231" s="47"/>
      <c r="CQ231" s="47"/>
      <c r="CR231" s="47"/>
      <c r="CS231" s="198"/>
      <c r="CT231" s="47"/>
      <c r="CU231" s="47"/>
      <c r="CV231" s="47"/>
      <c r="CW231" s="47"/>
      <c r="CX231" s="194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198"/>
      <c r="DX231" s="47"/>
      <c r="DY231" s="194"/>
      <c r="DZ231" s="47"/>
      <c r="EA231" s="47"/>
      <c r="EB231" s="194"/>
      <c r="EC231" s="47"/>
      <c r="ED231" s="195"/>
      <c r="EE231" s="195"/>
      <c r="EF231" s="195"/>
      <c r="EG231" s="195"/>
      <c r="EH231" s="195"/>
      <c r="EI231" s="196"/>
      <c r="EJ231" s="201"/>
      <c r="EK231" s="202"/>
      <c r="EL231" s="5"/>
      <c r="FA231" s="251">
        <f t="shared" si="14"/>
        <v>0</v>
      </c>
    </row>
    <row r="232" spans="1:157" s="1" customFormat="1" ht="20.149999999999999" customHeight="1" x14ac:dyDescent="0.35">
      <c r="A232" s="2"/>
      <c r="B232" s="189" t="s">
        <v>984</v>
      </c>
      <c r="C232" s="47" t="s">
        <v>192</v>
      </c>
      <c r="D232" s="2" t="s">
        <v>637</v>
      </c>
      <c r="E232" s="2" t="s">
        <v>608</v>
      </c>
      <c r="F232" s="48" t="s">
        <v>809</v>
      </c>
      <c r="G232" s="48" t="s">
        <v>37</v>
      </c>
      <c r="H232" s="328">
        <v>100</v>
      </c>
      <c r="I232" s="47"/>
      <c r="J232" s="47"/>
      <c r="K232" s="47"/>
      <c r="L232" s="47"/>
      <c r="M232" s="47"/>
      <c r="N232" s="194"/>
      <c r="O232" s="194"/>
      <c r="P232" s="194"/>
      <c r="Q232" s="194"/>
      <c r="R232" s="47"/>
      <c r="S232" s="194"/>
      <c r="T232" s="47"/>
      <c r="U232" s="194"/>
      <c r="V232" s="47"/>
      <c r="W232" s="194"/>
      <c r="X232" s="47"/>
      <c r="Y232" s="194"/>
      <c r="Z232" s="194"/>
      <c r="AA232" s="47"/>
      <c r="AB232" s="47"/>
      <c r="AC232" s="47"/>
      <c r="AD232" s="47"/>
      <c r="AE232" s="194"/>
      <c r="AF232" s="194"/>
      <c r="AG232" s="194"/>
      <c r="AH232" s="5"/>
      <c r="AI232" s="47"/>
      <c r="AJ232" s="223"/>
      <c r="AK232" s="47"/>
      <c r="AL232" s="47"/>
      <c r="AM232" s="47"/>
      <c r="AN232" s="47"/>
      <c r="AO232" s="47"/>
      <c r="AP232" s="194"/>
      <c r="AQ232" s="47"/>
      <c r="AR232" s="47"/>
      <c r="AS232" s="47"/>
      <c r="AT232" s="194"/>
      <c r="AU232" s="194"/>
      <c r="AV232" s="194"/>
      <c r="AW232" s="194"/>
      <c r="AX232" s="194"/>
      <c r="AY232" s="194">
        <v>3</v>
      </c>
      <c r="AZ232" s="194"/>
      <c r="BA232" s="194"/>
      <c r="BB232" s="194"/>
      <c r="BC232" s="194"/>
      <c r="BD232" s="194"/>
      <c r="BE232" s="194"/>
      <c r="BF232" s="194"/>
      <c r="BG232" s="194"/>
      <c r="BH232" s="194"/>
      <c r="BI232" s="194"/>
      <c r="BJ232" s="194"/>
      <c r="BK232" s="194"/>
      <c r="BL232" s="194"/>
      <c r="BM232" s="194"/>
      <c r="BN232" s="194"/>
      <c r="BO232" s="194"/>
      <c r="BP232" s="194"/>
      <c r="BQ232" s="47"/>
      <c r="BR232" s="194"/>
      <c r="BS232" s="47"/>
      <c r="BT232" s="47"/>
      <c r="BU232" s="47"/>
      <c r="BV232" s="47"/>
      <c r="BW232" s="47"/>
      <c r="BX232" s="194"/>
      <c r="BY232" s="194"/>
      <c r="BZ232" s="194"/>
      <c r="CA232" s="194"/>
      <c r="CB232" s="194"/>
      <c r="CC232" s="47"/>
      <c r="CD232" s="47"/>
      <c r="CE232" s="47"/>
      <c r="CF232" s="47"/>
      <c r="CG232" s="47"/>
      <c r="CH232" s="47"/>
      <c r="CI232" s="47"/>
      <c r="CJ232" s="47"/>
      <c r="CK232" s="224"/>
      <c r="CL232" s="194"/>
      <c r="CM232" s="47"/>
      <c r="CN232" s="47"/>
      <c r="CO232" s="47"/>
      <c r="CP232" s="47"/>
      <c r="CQ232" s="47"/>
      <c r="CR232" s="47"/>
      <c r="CS232" s="47"/>
      <c r="CT232" s="47"/>
      <c r="CU232" s="47"/>
      <c r="CV232" s="47"/>
      <c r="CW232" s="47"/>
      <c r="CX232" s="194"/>
      <c r="CY232" s="47"/>
      <c r="CZ232" s="47"/>
      <c r="DA232" s="47"/>
      <c r="DB232" s="47"/>
      <c r="DC232" s="47"/>
      <c r="DD232" s="47"/>
      <c r="DE232" s="47"/>
      <c r="DF232" s="47"/>
      <c r="DG232" s="47"/>
      <c r="DH232" s="47"/>
      <c r="DI232" s="47"/>
      <c r="DJ232" s="47"/>
      <c r="DK232" s="47"/>
      <c r="DL232" s="47"/>
      <c r="DM232" s="47"/>
      <c r="DN232" s="47"/>
      <c r="DO232" s="47"/>
      <c r="DP232" s="47"/>
      <c r="DQ232" s="47"/>
      <c r="DR232" s="47"/>
      <c r="DS232" s="47"/>
      <c r="DT232" s="47"/>
      <c r="DU232" s="47"/>
      <c r="DV232" s="47"/>
      <c r="DW232" s="198"/>
      <c r="DX232" s="47"/>
      <c r="DY232" s="194"/>
      <c r="DZ232" s="47"/>
      <c r="EA232" s="47"/>
      <c r="EB232" s="194"/>
      <c r="EC232" s="47"/>
      <c r="ED232" s="195"/>
      <c r="EE232" s="195"/>
      <c r="EF232" s="195"/>
      <c r="EG232" s="195"/>
      <c r="EH232" s="195">
        <v>0</v>
      </c>
      <c r="EI232" s="196">
        <f t="shared" si="12"/>
        <v>0</v>
      </c>
      <c r="EJ232" s="201">
        <f t="shared" si="13"/>
        <v>127</v>
      </c>
      <c r="EK232" s="202">
        <v>0</v>
      </c>
      <c r="EL232" s="5"/>
      <c r="FA232" s="251">
        <f t="shared" si="14"/>
        <v>100</v>
      </c>
    </row>
    <row r="233" spans="1:157" s="1" customFormat="1" ht="20.149999999999999" customHeight="1" x14ac:dyDescent="0.35">
      <c r="A233" s="2"/>
      <c r="B233" s="189" t="s">
        <v>985</v>
      </c>
      <c r="C233" s="47" t="s">
        <v>192</v>
      </c>
      <c r="D233" s="2" t="s">
        <v>637</v>
      </c>
      <c r="E233" s="2" t="s">
        <v>608</v>
      </c>
      <c r="F233" s="48" t="s">
        <v>1153</v>
      </c>
      <c r="G233" s="48" t="s">
        <v>570</v>
      </c>
      <c r="H233" s="328">
        <f>H232/40</f>
        <v>2.5</v>
      </c>
      <c r="I233" s="47"/>
      <c r="J233" s="47"/>
      <c r="K233" s="47"/>
      <c r="L233" s="47"/>
      <c r="M233" s="47"/>
      <c r="N233" s="194"/>
      <c r="O233" s="194"/>
      <c r="P233" s="194"/>
      <c r="Q233" s="194"/>
      <c r="R233" s="47"/>
      <c r="S233" s="194"/>
      <c r="T233" s="47"/>
      <c r="U233" s="194"/>
      <c r="V233" s="47"/>
      <c r="W233" s="194"/>
      <c r="X233" s="47"/>
      <c r="Y233" s="194"/>
      <c r="Z233" s="194"/>
      <c r="AA233" s="47"/>
      <c r="AB233" s="47">
        <v>3.1</v>
      </c>
      <c r="AC233" s="47"/>
      <c r="AD233" s="47"/>
      <c r="AE233" s="194"/>
      <c r="AF233" s="194"/>
      <c r="AG233" s="194"/>
      <c r="AH233" s="5"/>
      <c r="AI233" s="47"/>
      <c r="AJ233" s="223"/>
      <c r="AK233" s="47"/>
      <c r="AL233" s="47">
        <v>3</v>
      </c>
      <c r="AM233" s="47"/>
      <c r="AN233" s="47"/>
      <c r="AO233" s="47"/>
      <c r="AP233" s="194"/>
      <c r="AQ233" s="47"/>
      <c r="AR233" s="47"/>
      <c r="AS233" s="47"/>
      <c r="AT233" s="194"/>
      <c r="AU233" s="194"/>
      <c r="AV233" s="194"/>
      <c r="AW233" s="194"/>
      <c r="AX233" s="194"/>
      <c r="AY233" s="194"/>
      <c r="AZ233" s="194"/>
      <c r="BA233" s="194"/>
      <c r="BB233" s="194"/>
      <c r="BC233" s="194"/>
      <c r="BD233" s="194"/>
      <c r="BE233" s="194"/>
      <c r="BF233" s="194"/>
      <c r="BG233" s="194"/>
      <c r="BH233" s="194"/>
      <c r="BI233" s="194"/>
      <c r="BJ233" s="194"/>
      <c r="BK233" s="194"/>
      <c r="BL233" s="194">
        <v>3</v>
      </c>
      <c r="BM233" s="194"/>
      <c r="BN233" s="194"/>
      <c r="BO233" s="194"/>
      <c r="BP233" s="194"/>
      <c r="BQ233" s="47"/>
      <c r="BR233" s="194"/>
      <c r="BS233" s="47"/>
      <c r="BT233" s="47"/>
      <c r="BU233" s="47"/>
      <c r="BV233" s="47"/>
      <c r="BW233" s="47"/>
      <c r="BX233" s="194">
        <v>3</v>
      </c>
      <c r="BY233" s="194"/>
      <c r="BZ233" s="194"/>
      <c r="CA233" s="194"/>
      <c r="CB233" s="194"/>
      <c r="CC233" s="47"/>
      <c r="CD233" s="47"/>
      <c r="CE233" s="47"/>
      <c r="CF233" s="47"/>
      <c r="CG233" s="47"/>
      <c r="CH233" s="47"/>
      <c r="CI233" s="47"/>
      <c r="CJ233" s="47"/>
      <c r="CK233" s="224"/>
      <c r="CL233" s="194"/>
      <c r="CM233" s="47"/>
      <c r="CN233" s="47"/>
      <c r="CO233" s="47"/>
      <c r="CP233" s="47"/>
      <c r="CQ233" s="47"/>
      <c r="CR233" s="47"/>
      <c r="CS233" s="47"/>
      <c r="CT233" s="47"/>
      <c r="CU233" s="47"/>
      <c r="CV233" s="47">
        <v>3.1</v>
      </c>
      <c r="CW233" s="47"/>
      <c r="CX233" s="194"/>
      <c r="CY233" s="47"/>
      <c r="CZ233" s="47"/>
      <c r="DA233" s="47"/>
      <c r="DB233" s="47"/>
      <c r="DC233" s="47"/>
      <c r="DD233" s="47"/>
      <c r="DE233" s="47"/>
      <c r="DF233" s="47"/>
      <c r="DG233" s="47"/>
      <c r="DH233" s="47"/>
      <c r="DI233" s="47"/>
      <c r="DJ233" s="47">
        <v>3.1</v>
      </c>
      <c r="DK233" s="47"/>
      <c r="DL233" s="47"/>
      <c r="DM233" s="47"/>
      <c r="DN233" s="47"/>
      <c r="DO233" s="47"/>
      <c r="DP233" s="47"/>
      <c r="DQ233" s="47"/>
      <c r="DR233" s="47"/>
      <c r="DS233" s="47"/>
      <c r="DT233" s="47"/>
      <c r="DU233" s="47"/>
      <c r="DV233" s="47">
        <v>3</v>
      </c>
      <c r="DW233" s="198"/>
      <c r="DX233" s="47"/>
      <c r="DY233" s="194"/>
      <c r="DZ233" s="47"/>
      <c r="EA233" s="47"/>
      <c r="EB233" s="194"/>
      <c r="EC233" s="47"/>
      <c r="ED233" s="195"/>
      <c r="EE233" s="195"/>
      <c r="EF233" s="195"/>
      <c r="EG233" s="195"/>
      <c r="EH233" s="195">
        <v>80</v>
      </c>
      <c r="EI233" s="196">
        <f t="shared" si="12"/>
        <v>200</v>
      </c>
      <c r="EJ233" s="201">
        <f t="shared" si="13"/>
        <v>3.1749999999999998</v>
      </c>
      <c r="EK233" s="202">
        <v>2.8</v>
      </c>
      <c r="EL233" s="5"/>
      <c r="FA233" s="251">
        <f t="shared" si="14"/>
        <v>2.5</v>
      </c>
    </row>
    <row r="234" spans="1:157" s="1" customFormat="1" ht="20.149999999999999" customHeight="1" x14ac:dyDescent="0.35">
      <c r="A234" s="2"/>
      <c r="B234" s="189" t="s">
        <v>986</v>
      </c>
      <c r="C234" s="47" t="s">
        <v>1420</v>
      </c>
      <c r="D234" s="2" t="s">
        <v>56</v>
      </c>
      <c r="E234" s="2" t="s">
        <v>46</v>
      </c>
      <c r="F234" s="48" t="s">
        <v>811</v>
      </c>
      <c r="G234" s="48" t="s">
        <v>32</v>
      </c>
      <c r="H234" s="328">
        <v>140</v>
      </c>
      <c r="I234" s="47"/>
      <c r="J234" s="47"/>
      <c r="K234" s="47"/>
      <c r="L234" s="47"/>
      <c r="M234" s="47"/>
      <c r="N234" s="194"/>
      <c r="O234" s="194"/>
      <c r="P234" s="194"/>
      <c r="Q234" s="194"/>
      <c r="R234" s="47"/>
      <c r="S234" s="194"/>
      <c r="T234" s="47"/>
      <c r="U234" s="194"/>
      <c r="V234" s="47"/>
      <c r="W234" s="194"/>
      <c r="X234" s="47"/>
      <c r="Y234" s="194"/>
      <c r="Z234" s="194"/>
      <c r="AA234" s="47"/>
      <c r="AB234" s="47"/>
      <c r="AC234" s="47"/>
      <c r="AD234" s="47"/>
      <c r="AE234" s="194"/>
      <c r="AF234" s="194"/>
      <c r="AG234" s="194"/>
      <c r="AH234" s="5"/>
      <c r="AI234" s="47"/>
      <c r="AJ234" s="223"/>
      <c r="AK234" s="47"/>
      <c r="AL234" s="47"/>
      <c r="AM234" s="47"/>
      <c r="AN234" s="47"/>
      <c r="AO234" s="47"/>
      <c r="AP234" s="194"/>
      <c r="AQ234" s="47"/>
      <c r="AR234" s="47"/>
      <c r="AS234" s="47"/>
      <c r="AT234" s="194"/>
      <c r="AU234" s="194"/>
      <c r="AV234" s="194"/>
      <c r="AW234" s="194"/>
      <c r="AX234" s="194"/>
      <c r="AY234" s="194"/>
      <c r="AZ234" s="194"/>
      <c r="BA234" s="194"/>
      <c r="BB234" s="194"/>
      <c r="BC234" s="194"/>
      <c r="BD234" s="194"/>
      <c r="BE234" s="194"/>
      <c r="BF234" s="194"/>
      <c r="BG234" s="194"/>
      <c r="BH234" s="194"/>
      <c r="BI234" s="194"/>
      <c r="BJ234" s="194"/>
      <c r="BK234" s="194"/>
      <c r="BL234" s="194"/>
      <c r="BM234" s="194"/>
      <c r="BN234" s="194"/>
      <c r="BO234" s="194"/>
      <c r="BP234" s="194"/>
      <c r="BQ234" s="47"/>
      <c r="BR234" s="194"/>
      <c r="BS234" s="47"/>
      <c r="BT234" s="47"/>
      <c r="BU234" s="47"/>
      <c r="BV234" s="47"/>
      <c r="BW234" s="47"/>
      <c r="BX234" s="194"/>
      <c r="BY234" s="194"/>
      <c r="BZ234" s="194"/>
      <c r="CA234" s="194"/>
      <c r="CB234" s="194"/>
      <c r="CC234" s="47"/>
      <c r="CD234" s="47"/>
      <c r="CE234" s="47"/>
      <c r="CF234" s="47"/>
      <c r="CG234" s="47"/>
      <c r="CH234" s="47"/>
      <c r="CI234" s="47"/>
      <c r="CJ234" s="47"/>
      <c r="CK234" s="224"/>
      <c r="CL234" s="194"/>
      <c r="CM234" s="47"/>
      <c r="CN234" s="47"/>
      <c r="CO234" s="47"/>
      <c r="CP234" s="47"/>
      <c r="CQ234" s="47"/>
      <c r="CR234" s="47"/>
      <c r="CS234" s="47"/>
      <c r="CT234" s="47"/>
      <c r="CU234" s="47"/>
      <c r="CV234" s="47"/>
      <c r="CW234" s="47"/>
      <c r="CX234" s="194"/>
      <c r="CY234" s="47"/>
      <c r="CZ234" s="47"/>
      <c r="DA234" s="47"/>
      <c r="DB234" s="47"/>
      <c r="DC234" s="47"/>
      <c r="DD234" s="47"/>
      <c r="DE234" s="47"/>
      <c r="DF234" s="47"/>
      <c r="DG234" s="47"/>
      <c r="DH234" s="47"/>
      <c r="DI234" s="47"/>
      <c r="DJ234" s="47"/>
      <c r="DK234" s="47"/>
      <c r="DL234" s="47"/>
      <c r="DM234" s="47"/>
      <c r="DN234" s="47"/>
      <c r="DO234" s="47"/>
      <c r="DP234" s="47"/>
      <c r="DQ234" s="47"/>
      <c r="DR234" s="47"/>
      <c r="DS234" s="47"/>
      <c r="DT234" s="47"/>
      <c r="DU234" s="47"/>
      <c r="DV234" s="47"/>
      <c r="DW234" s="198"/>
      <c r="DX234" s="47"/>
      <c r="DY234" s="194"/>
      <c r="DZ234" s="47"/>
      <c r="EA234" s="47"/>
      <c r="EB234" s="194"/>
      <c r="EC234" s="47"/>
      <c r="ED234" s="195"/>
      <c r="EE234" s="195"/>
      <c r="EF234" s="195"/>
      <c r="EG234" s="195"/>
      <c r="EH234" s="195">
        <v>0</v>
      </c>
      <c r="EI234" s="196">
        <f t="shared" si="12"/>
        <v>0</v>
      </c>
      <c r="EJ234" s="201">
        <f t="shared" si="13"/>
        <v>177.8</v>
      </c>
      <c r="EK234" s="202">
        <v>0</v>
      </c>
      <c r="EL234" s="5"/>
      <c r="FA234" s="251">
        <f t="shared" si="14"/>
        <v>140</v>
      </c>
    </row>
    <row r="235" spans="1:157" s="1" customFormat="1" ht="20.149999999999999" customHeight="1" x14ac:dyDescent="0.35">
      <c r="A235" s="2"/>
      <c r="B235" s="189" t="s">
        <v>987</v>
      </c>
      <c r="C235" s="47" t="s">
        <v>1420</v>
      </c>
      <c r="D235" s="2" t="s">
        <v>56</v>
      </c>
      <c r="E235" s="2" t="s">
        <v>46</v>
      </c>
      <c r="F235" s="48" t="s">
        <v>61</v>
      </c>
      <c r="G235" s="48" t="s">
        <v>45</v>
      </c>
      <c r="H235" s="328">
        <f>H234/10</f>
        <v>14</v>
      </c>
      <c r="I235" s="47"/>
      <c r="J235" s="47"/>
      <c r="K235" s="47"/>
      <c r="L235" s="47"/>
      <c r="M235" s="47">
        <v>19.5</v>
      </c>
      <c r="N235" s="194"/>
      <c r="O235" s="194"/>
      <c r="P235" s="194"/>
      <c r="Q235" s="194">
        <v>19</v>
      </c>
      <c r="R235" s="194">
        <v>19</v>
      </c>
      <c r="S235" s="194"/>
      <c r="T235" s="47"/>
      <c r="U235" s="194"/>
      <c r="V235" s="47"/>
      <c r="W235" s="194"/>
      <c r="X235" s="47"/>
      <c r="Y235" s="194"/>
      <c r="Z235" s="194"/>
      <c r="AA235" s="47"/>
      <c r="AB235" s="47"/>
      <c r="AC235" s="47"/>
      <c r="AD235" s="47"/>
      <c r="AE235" s="194"/>
      <c r="AF235" s="194"/>
      <c r="AG235" s="194"/>
      <c r="AH235" s="5"/>
      <c r="AI235" s="47"/>
      <c r="AJ235" s="223"/>
      <c r="AK235" s="47"/>
      <c r="AL235" s="47"/>
      <c r="AM235" s="47"/>
      <c r="AN235" s="47"/>
      <c r="AO235" s="47"/>
      <c r="AP235" s="194"/>
      <c r="AQ235" s="47"/>
      <c r="AR235" s="47"/>
      <c r="AS235" s="47"/>
      <c r="AT235" s="194"/>
      <c r="AU235" s="194"/>
      <c r="AV235" s="194"/>
      <c r="AW235" s="194"/>
      <c r="AX235" s="194"/>
      <c r="AY235" s="194">
        <v>19.5</v>
      </c>
      <c r="AZ235" s="194"/>
      <c r="BA235" s="194"/>
      <c r="BB235" s="194"/>
      <c r="BC235" s="194"/>
      <c r="BD235" s="194"/>
      <c r="BE235" s="194"/>
      <c r="BF235" s="194"/>
      <c r="BG235" s="194"/>
      <c r="BH235" s="194"/>
      <c r="BI235" s="194"/>
      <c r="BJ235" s="194"/>
      <c r="BK235" s="194"/>
      <c r="BL235" s="194"/>
      <c r="BM235" s="194"/>
      <c r="BN235" s="194"/>
      <c r="BO235" s="194"/>
      <c r="BP235" s="194"/>
      <c r="BQ235" s="47"/>
      <c r="BR235" s="194"/>
      <c r="BS235" s="47"/>
      <c r="BT235" s="47"/>
      <c r="BU235" s="47"/>
      <c r="BV235" s="47"/>
      <c r="BW235" s="47"/>
      <c r="BX235" s="194"/>
      <c r="BY235" s="194"/>
      <c r="BZ235" s="194"/>
      <c r="CA235" s="194"/>
      <c r="CB235" s="194"/>
      <c r="CC235" s="47"/>
      <c r="CD235" s="47"/>
      <c r="CE235" s="47"/>
      <c r="CF235" s="47"/>
      <c r="CG235" s="47"/>
      <c r="CH235" s="47"/>
      <c r="CI235" s="47"/>
      <c r="CJ235" s="47"/>
      <c r="CK235" s="224"/>
      <c r="CL235" s="194"/>
      <c r="CM235" s="47"/>
      <c r="CN235" s="47"/>
      <c r="CO235" s="47"/>
      <c r="CP235" s="47">
        <v>19.5</v>
      </c>
      <c r="CQ235" s="47"/>
      <c r="CR235" s="47"/>
      <c r="CS235" s="47"/>
      <c r="CT235" s="47">
        <v>19.5</v>
      </c>
      <c r="CU235" s="47"/>
      <c r="CV235" s="47"/>
      <c r="CW235" s="47"/>
      <c r="CX235" s="194"/>
      <c r="CY235" s="47"/>
      <c r="CZ235" s="47">
        <v>16</v>
      </c>
      <c r="DA235" s="47"/>
      <c r="DB235" s="47"/>
      <c r="DC235" s="47"/>
      <c r="DD235" s="47"/>
      <c r="DE235" s="47"/>
      <c r="DF235" s="47"/>
      <c r="DG235" s="47"/>
      <c r="DH235" s="47"/>
      <c r="DI235" s="47"/>
      <c r="DJ235" s="47"/>
      <c r="DK235" s="47"/>
      <c r="DL235" s="47"/>
      <c r="DM235" s="47"/>
      <c r="DN235" s="47"/>
      <c r="DO235" s="47"/>
      <c r="DP235" s="47"/>
      <c r="DQ235" s="47"/>
      <c r="DR235" s="47"/>
      <c r="DS235" s="47"/>
      <c r="DT235" s="47"/>
      <c r="DU235" s="47"/>
      <c r="DV235" s="47"/>
      <c r="DW235" s="198"/>
      <c r="DX235" s="47"/>
      <c r="DY235" s="194"/>
      <c r="DZ235" s="47"/>
      <c r="EA235" s="47"/>
      <c r="EB235" s="194"/>
      <c r="EC235" s="47"/>
      <c r="ED235" s="195"/>
      <c r="EE235" s="195"/>
      <c r="EF235" s="195"/>
      <c r="EG235" s="195"/>
      <c r="EH235" s="195">
        <v>4</v>
      </c>
      <c r="EI235" s="196">
        <f t="shared" si="12"/>
        <v>56</v>
      </c>
      <c r="EJ235" s="201">
        <f t="shared" si="13"/>
        <v>17.78</v>
      </c>
      <c r="EK235" s="202">
        <v>16</v>
      </c>
      <c r="EL235" s="5"/>
      <c r="FA235" s="251">
        <f t="shared" si="14"/>
        <v>14</v>
      </c>
    </row>
    <row r="236" spans="1:157" s="1" customFormat="1" ht="20.149999999999999" customHeight="1" x14ac:dyDescent="0.35">
      <c r="A236" s="2"/>
      <c r="B236" s="189" t="s">
        <v>1216</v>
      </c>
      <c r="C236" s="47" t="s">
        <v>1421</v>
      </c>
      <c r="D236" s="2" t="s">
        <v>56</v>
      </c>
      <c r="E236" s="2" t="s">
        <v>46</v>
      </c>
      <c r="F236" s="48" t="s">
        <v>61</v>
      </c>
      <c r="G236" s="48" t="s">
        <v>45</v>
      </c>
      <c r="H236" s="328">
        <f>H235</f>
        <v>14</v>
      </c>
      <c r="I236" s="47"/>
      <c r="J236" s="47"/>
      <c r="K236" s="47"/>
      <c r="L236" s="47"/>
      <c r="M236" s="47"/>
      <c r="N236" s="194"/>
      <c r="O236" s="194"/>
      <c r="P236" s="194"/>
      <c r="Q236" s="194"/>
      <c r="R236" s="47"/>
      <c r="S236" s="194"/>
      <c r="T236" s="47"/>
      <c r="U236" s="194"/>
      <c r="V236" s="47"/>
      <c r="W236" s="194"/>
      <c r="X236" s="47"/>
      <c r="Y236" s="194"/>
      <c r="Z236" s="194"/>
      <c r="AA236" s="47"/>
      <c r="AB236" s="47"/>
      <c r="AC236" s="47"/>
      <c r="AD236" s="47"/>
      <c r="AE236" s="194"/>
      <c r="AF236" s="194"/>
      <c r="AG236" s="194"/>
      <c r="AH236" s="5"/>
      <c r="AI236" s="47"/>
      <c r="AJ236" s="223"/>
      <c r="AK236" s="47"/>
      <c r="AL236" s="47"/>
      <c r="AM236" s="47"/>
      <c r="AN236" s="47"/>
      <c r="AO236" s="47"/>
      <c r="AP236" s="194"/>
      <c r="AQ236" s="47"/>
      <c r="AR236" s="47"/>
      <c r="AS236" s="47"/>
      <c r="AT236" s="194"/>
      <c r="AU236" s="194"/>
      <c r="AV236" s="194"/>
      <c r="AW236" s="194"/>
      <c r="AX236" s="194"/>
      <c r="AY236" s="194"/>
      <c r="AZ236" s="194"/>
      <c r="BA236" s="194"/>
      <c r="BB236" s="194"/>
      <c r="BC236" s="194"/>
      <c r="BD236" s="194"/>
      <c r="BE236" s="194"/>
      <c r="BF236" s="194"/>
      <c r="BG236" s="194"/>
      <c r="BH236" s="194"/>
      <c r="BI236" s="194"/>
      <c r="BJ236" s="194"/>
      <c r="BK236" s="194"/>
      <c r="BL236" s="194"/>
      <c r="BM236" s="194"/>
      <c r="BN236" s="194"/>
      <c r="BO236" s="194"/>
      <c r="BP236" s="194"/>
      <c r="BQ236" s="47"/>
      <c r="BR236" s="194"/>
      <c r="BS236" s="47"/>
      <c r="BT236" s="47"/>
      <c r="BU236" s="47"/>
      <c r="BV236" s="47"/>
      <c r="BW236" s="47"/>
      <c r="BX236" s="194"/>
      <c r="BY236" s="194"/>
      <c r="BZ236" s="194"/>
      <c r="CA236" s="194"/>
      <c r="CB236" s="194"/>
      <c r="CC236" s="47"/>
      <c r="CD236" s="47"/>
      <c r="CE236" s="47"/>
      <c r="CF236" s="47"/>
      <c r="CG236" s="47"/>
      <c r="CH236" s="47"/>
      <c r="CI236" s="47"/>
      <c r="CJ236" s="47"/>
      <c r="CK236" s="224"/>
      <c r="CL236" s="194"/>
      <c r="CM236" s="47"/>
      <c r="CN236" s="47"/>
      <c r="CO236" s="47"/>
      <c r="CP236" s="47"/>
      <c r="CQ236" s="47"/>
      <c r="CR236" s="47"/>
      <c r="CS236" s="47"/>
      <c r="CT236" s="47"/>
      <c r="CU236" s="47"/>
      <c r="CV236" s="47">
        <v>19</v>
      </c>
      <c r="CW236" s="47"/>
      <c r="CX236" s="194"/>
      <c r="CY236" s="47"/>
      <c r="CZ236" s="47"/>
      <c r="DA236" s="47"/>
      <c r="DB236" s="47"/>
      <c r="DC236" s="47"/>
      <c r="DD236" s="47"/>
      <c r="DE236" s="47"/>
      <c r="DF236" s="47"/>
      <c r="DG236" s="47"/>
      <c r="DH236" s="47"/>
      <c r="DI236" s="47"/>
      <c r="DJ236" s="47"/>
      <c r="DK236" s="47"/>
      <c r="DL236" s="47"/>
      <c r="DM236" s="47"/>
      <c r="DN236" s="47"/>
      <c r="DO236" s="47"/>
      <c r="DP236" s="47"/>
      <c r="DQ236" s="47"/>
      <c r="DR236" s="47"/>
      <c r="DS236" s="47"/>
      <c r="DT236" s="47"/>
      <c r="DU236" s="47"/>
      <c r="DV236" s="47"/>
      <c r="DW236" s="198"/>
      <c r="DX236" s="47"/>
      <c r="DY236" s="194"/>
      <c r="DZ236" s="47"/>
      <c r="EA236" s="47"/>
      <c r="EB236" s="194"/>
      <c r="EC236" s="47"/>
      <c r="ED236" s="195"/>
      <c r="EE236" s="195"/>
      <c r="EF236" s="195"/>
      <c r="EG236" s="195"/>
      <c r="EH236" s="195"/>
      <c r="EI236" s="196"/>
      <c r="EJ236" s="201"/>
      <c r="EK236" s="202"/>
      <c r="EL236" s="5"/>
      <c r="FA236" s="251">
        <f t="shared" si="14"/>
        <v>14</v>
      </c>
    </row>
    <row r="237" spans="1:157" s="1" customFormat="1" ht="20.149999999999999" customHeight="1" x14ac:dyDescent="0.35">
      <c r="A237" s="2"/>
      <c r="B237" s="189" t="s">
        <v>988</v>
      </c>
      <c r="C237" s="47" t="s">
        <v>341</v>
      </c>
      <c r="D237" s="2" t="s">
        <v>637</v>
      </c>
      <c r="E237" s="48" t="s">
        <v>33</v>
      </c>
      <c r="F237" s="48" t="s">
        <v>31</v>
      </c>
      <c r="G237" s="48" t="s">
        <v>35</v>
      </c>
      <c r="H237" s="328">
        <f>6*2</f>
        <v>12</v>
      </c>
      <c r="I237" s="47"/>
      <c r="J237" s="47"/>
      <c r="K237" s="47"/>
      <c r="L237" s="47"/>
      <c r="M237" s="47"/>
      <c r="N237" s="194"/>
      <c r="O237" s="194"/>
      <c r="P237" s="194"/>
      <c r="Q237" s="194"/>
      <c r="R237" s="47"/>
      <c r="S237" s="194"/>
      <c r="T237" s="47"/>
      <c r="U237" s="194"/>
      <c r="V237" s="47"/>
      <c r="W237" s="194"/>
      <c r="X237" s="47"/>
      <c r="Y237" s="194"/>
      <c r="Z237" s="194"/>
      <c r="AA237" s="47"/>
      <c r="AB237" s="47"/>
      <c r="AC237" s="47"/>
      <c r="AD237" s="47"/>
      <c r="AE237" s="194"/>
      <c r="AF237" s="194"/>
      <c r="AG237" s="194"/>
      <c r="AH237" s="5"/>
      <c r="AI237" s="47"/>
      <c r="AJ237" s="223"/>
      <c r="AK237" s="47"/>
      <c r="AL237" s="47"/>
      <c r="AM237" s="47"/>
      <c r="AN237" s="47"/>
      <c r="AO237" s="47"/>
      <c r="AP237" s="194"/>
      <c r="AQ237" s="47"/>
      <c r="AR237" s="47"/>
      <c r="AS237" s="47"/>
      <c r="AT237" s="194"/>
      <c r="AU237" s="194"/>
      <c r="AV237" s="194"/>
      <c r="AW237" s="194"/>
      <c r="AX237" s="194"/>
      <c r="AY237" s="194"/>
      <c r="AZ237" s="194"/>
      <c r="BA237" s="194"/>
      <c r="BB237" s="194"/>
      <c r="BC237" s="194"/>
      <c r="BD237" s="194"/>
      <c r="BE237" s="194"/>
      <c r="BF237" s="194"/>
      <c r="BG237" s="194"/>
      <c r="BH237" s="194"/>
      <c r="BI237" s="194"/>
      <c r="BJ237" s="194"/>
      <c r="BK237" s="194"/>
      <c r="BL237" s="194"/>
      <c r="BM237" s="194"/>
      <c r="BN237" s="194"/>
      <c r="BO237" s="194"/>
      <c r="BP237" s="194"/>
      <c r="BQ237" s="47"/>
      <c r="BR237" s="194"/>
      <c r="BS237" s="47"/>
      <c r="BT237" s="47"/>
      <c r="BU237" s="47"/>
      <c r="BV237" s="47"/>
      <c r="BW237" s="47"/>
      <c r="BX237" s="194"/>
      <c r="BY237" s="194"/>
      <c r="BZ237" s="194"/>
      <c r="CA237" s="194"/>
      <c r="CB237" s="194"/>
      <c r="CC237" s="47"/>
      <c r="CD237" s="47"/>
      <c r="CE237" s="47"/>
      <c r="CF237" s="47"/>
      <c r="CG237" s="47"/>
      <c r="CH237" s="47"/>
      <c r="CI237" s="47"/>
      <c r="CJ237" s="47"/>
      <c r="CK237" s="224"/>
      <c r="CL237" s="194"/>
      <c r="CM237" s="47"/>
      <c r="CN237" s="47"/>
      <c r="CO237" s="47"/>
      <c r="CP237" s="47"/>
      <c r="CQ237" s="47"/>
      <c r="CR237" s="47"/>
      <c r="CS237" s="47"/>
      <c r="CT237" s="47"/>
      <c r="CU237" s="47"/>
      <c r="CV237" s="47">
        <v>16</v>
      </c>
      <c r="CW237" s="47"/>
      <c r="CX237" s="194"/>
      <c r="CY237" s="47"/>
      <c r="CZ237" s="47"/>
      <c r="DA237" s="47"/>
      <c r="DB237" s="47"/>
      <c r="DC237" s="47"/>
      <c r="DD237" s="47"/>
      <c r="DE237" s="47"/>
      <c r="DF237" s="47"/>
      <c r="DG237" s="47"/>
      <c r="DH237" s="47"/>
      <c r="DI237" s="47"/>
      <c r="DJ237" s="47"/>
      <c r="DK237" s="47"/>
      <c r="DL237" s="47"/>
      <c r="DM237" s="47"/>
      <c r="DN237" s="47"/>
      <c r="DO237" s="47"/>
      <c r="DP237" s="47"/>
      <c r="DQ237" s="47"/>
      <c r="DR237" s="47"/>
      <c r="DS237" s="47"/>
      <c r="DT237" s="47"/>
      <c r="DU237" s="47"/>
      <c r="DV237" s="47"/>
      <c r="DW237" s="198"/>
      <c r="DX237" s="47"/>
      <c r="DY237" s="194"/>
      <c r="DZ237" s="47"/>
      <c r="EA237" s="47"/>
      <c r="EB237" s="194"/>
      <c r="EC237" s="47"/>
      <c r="ED237" s="195"/>
      <c r="EE237" s="195"/>
      <c r="EF237" s="195"/>
      <c r="EG237" s="195"/>
      <c r="EH237" s="195">
        <v>15</v>
      </c>
      <c r="EI237" s="196">
        <f t="shared" si="12"/>
        <v>180</v>
      </c>
      <c r="EJ237" s="201">
        <f t="shared" si="13"/>
        <v>15.24</v>
      </c>
      <c r="EK237" s="202">
        <f>AVERAGE(I237:EC237)</f>
        <v>16</v>
      </c>
      <c r="EL237" s="5"/>
      <c r="FA237" s="251">
        <f t="shared" si="14"/>
        <v>12</v>
      </c>
    </row>
    <row r="238" spans="1:157" s="1" customFormat="1" ht="20.149999999999999" customHeight="1" x14ac:dyDescent="0.35">
      <c r="A238" s="2"/>
      <c r="B238" s="189" t="s">
        <v>1281</v>
      </c>
      <c r="C238" s="47" t="s">
        <v>341</v>
      </c>
      <c r="D238" s="2" t="s">
        <v>637</v>
      </c>
      <c r="E238" s="48" t="s">
        <v>33</v>
      </c>
      <c r="F238" s="48" t="s">
        <v>1000</v>
      </c>
      <c r="G238" s="48" t="s">
        <v>35</v>
      </c>
      <c r="H238" s="328">
        <f>H237/2</f>
        <v>6</v>
      </c>
      <c r="I238" s="47"/>
      <c r="J238" s="47"/>
      <c r="K238" s="47"/>
      <c r="L238" s="47"/>
      <c r="M238" s="47"/>
      <c r="N238" s="194"/>
      <c r="O238" s="194"/>
      <c r="P238" s="194"/>
      <c r="Q238" s="194"/>
      <c r="R238" s="47"/>
      <c r="S238" s="194"/>
      <c r="T238" s="47"/>
      <c r="U238" s="194"/>
      <c r="V238" s="47"/>
      <c r="W238" s="194"/>
      <c r="X238" s="47"/>
      <c r="Y238" s="194"/>
      <c r="Z238" s="194"/>
      <c r="AA238" s="47"/>
      <c r="AB238" s="47"/>
      <c r="AC238" s="47"/>
      <c r="AD238" s="47"/>
      <c r="AE238" s="194"/>
      <c r="AF238" s="194"/>
      <c r="AG238" s="194"/>
      <c r="AH238" s="5"/>
      <c r="AI238" s="47"/>
      <c r="AJ238" s="223"/>
      <c r="AK238" s="47"/>
      <c r="AL238" s="47"/>
      <c r="AM238" s="47"/>
      <c r="AN238" s="47"/>
      <c r="AO238" s="47"/>
      <c r="AP238" s="194"/>
      <c r="AQ238" s="47">
        <v>8</v>
      </c>
      <c r="AR238" s="47"/>
      <c r="AS238" s="47"/>
      <c r="AT238" s="194"/>
      <c r="AU238" s="194"/>
      <c r="AV238" s="194"/>
      <c r="AW238" s="194"/>
      <c r="AX238" s="194"/>
      <c r="AY238" s="194"/>
      <c r="AZ238" s="194"/>
      <c r="BA238" s="194"/>
      <c r="BB238" s="194"/>
      <c r="BC238" s="194"/>
      <c r="BD238" s="194"/>
      <c r="BE238" s="194"/>
      <c r="BF238" s="194"/>
      <c r="BG238" s="194"/>
      <c r="BH238" s="194"/>
      <c r="BI238" s="194"/>
      <c r="BJ238" s="194"/>
      <c r="BK238" s="194"/>
      <c r="BL238" s="194"/>
      <c r="BM238" s="194"/>
      <c r="BN238" s="194"/>
      <c r="BO238" s="194"/>
      <c r="BP238" s="194"/>
      <c r="BQ238" s="47"/>
      <c r="BR238" s="194"/>
      <c r="BS238" s="47"/>
      <c r="BT238" s="47"/>
      <c r="BU238" s="47"/>
      <c r="BV238" s="47"/>
      <c r="BW238" s="47"/>
      <c r="BX238" s="194"/>
      <c r="BY238" s="194"/>
      <c r="BZ238" s="194"/>
      <c r="CA238" s="194"/>
      <c r="CB238" s="194"/>
      <c r="CC238" s="47"/>
      <c r="CD238" s="47"/>
      <c r="CE238" s="47"/>
      <c r="CF238" s="47"/>
      <c r="CG238" s="47"/>
      <c r="CH238" s="47"/>
      <c r="CI238" s="47"/>
      <c r="CJ238" s="47"/>
      <c r="CK238" s="224"/>
      <c r="CL238" s="194"/>
      <c r="CM238" s="47"/>
      <c r="CN238" s="47"/>
      <c r="CO238" s="47"/>
      <c r="CP238" s="47"/>
      <c r="CQ238" s="47"/>
      <c r="CR238" s="47"/>
      <c r="CS238" s="47"/>
      <c r="CT238" s="47"/>
      <c r="CU238" s="47"/>
      <c r="CV238" s="47"/>
      <c r="CW238" s="47"/>
      <c r="CX238" s="194"/>
      <c r="CY238" s="47"/>
      <c r="CZ238" s="47"/>
      <c r="DA238" s="47"/>
      <c r="DB238" s="47"/>
      <c r="DC238" s="47"/>
      <c r="DD238" s="47"/>
      <c r="DE238" s="47"/>
      <c r="DF238" s="47"/>
      <c r="DG238" s="47"/>
      <c r="DH238" s="47"/>
      <c r="DI238" s="47"/>
      <c r="DJ238" s="47"/>
      <c r="DK238" s="47"/>
      <c r="DL238" s="47"/>
      <c r="DM238" s="47"/>
      <c r="DN238" s="47"/>
      <c r="DO238" s="47"/>
      <c r="DP238" s="47"/>
      <c r="DQ238" s="47"/>
      <c r="DR238" s="47"/>
      <c r="DS238" s="47"/>
      <c r="DT238" s="47"/>
      <c r="DU238" s="47"/>
      <c r="DV238" s="47"/>
      <c r="DW238" s="198"/>
      <c r="DX238" s="47"/>
      <c r="DY238" s="194"/>
      <c r="DZ238" s="47"/>
      <c r="EA238" s="47"/>
      <c r="EB238" s="194"/>
      <c r="EC238" s="47"/>
      <c r="ED238" s="195"/>
      <c r="EE238" s="195"/>
      <c r="EF238" s="195"/>
      <c r="EG238" s="195"/>
      <c r="EH238" s="195"/>
      <c r="EI238" s="196"/>
      <c r="EJ238" s="201"/>
      <c r="EK238" s="202"/>
      <c r="EL238" s="5"/>
      <c r="FA238" s="251">
        <f t="shared" si="14"/>
        <v>6</v>
      </c>
    </row>
    <row r="239" spans="1:157" s="1" customFormat="1" ht="20.149999999999999" customHeight="1" x14ac:dyDescent="0.35">
      <c r="A239" s="47"/>
      <c r="B239" s="189" t="s">
        <v>989</v>
      </c>
      <c r="C239" s="47" t="s">
        <v>206</v>
      </c>
      <c r="D239" s="2" t="s">
        <v>637</v>
      </c>
      <c r="E239" s="48"/>
      <c r="F239" s="48" t="s">
        <v>561</v>
      </c>
      <c r="G239" s="48" t="s">
        <v>32</v>
      </c>
      <c r="H239" s="328">
        <v>75</v>
      </c>
      <c r="I239" s="47"/>
      <c r="J239" s="47"/>
      <c r="K239" s="47"/>
      <c r="L239" s="47"/>
      <c r="M239" s="47"/>
      <c r="N239" s="194"/>
      <c r="O239" s="194"/>
      <c r="P239" s="194"/>
      <c r="Q239" s="194"/>
      <c r="R239" s="47"/>
      <c r="S239" s="194"/>
      <c r="T239" s="47"/>
      <c r="U239" s="194"/>
      <c r="V239" s="47"/>
      <c r="W239" s="194"/>
      <c r="X239" s="47"/>
      <c r="Y239" s="194"/>
      <c r="Z239" s="194"/>
      <c r="AA239" s="47"/>
      <c r="AB239" s="47"/>
      <c r="AC239" s="47"/>
      <c r="AD239" s="47"/>
      <c r="AE239" s="194"/>
      <c r="AF239" s="194"/>
      <c r="AG239" s="194"/>
      <c r="AH239" s="5"/>
      <c r="AI239" s="47"/>
      <c r="AJ239" s="198"/>
      <c r="AK239" s="47"/>
      <c r="AL239" s="47"/>
      <c r="AM239" s="47"/>
      <c r="AN239" s="47"/>
      <c r="AO239" s="47"/>
      <c r="AP239" s="194"/>
      <c r="AQ239" s="47"/>
      <c r="AR239" s="47"/>
      <c r="AS239" s="47"/>
      <c r="AT239" s="194"/>
      <c r="AU239" s="194"/>
      <c r="AV239" s="194"/>
      <c r="AW239" s="194"/>
      <c r="AX239" s="194"/>
      <c r="AY239" s="194"/>
      <c r="AZ239" s="194"/>
      <c r="BA239" s="194"/>
      <c r="BB239" s="194"/>
      <c r="BC239" s="194"/>
      <c r="BD239" s="194"/>
      <c r="BE239" s="194"/>
      <c r="BF239" s="194"/>
      <c r="BG239" s="194"/>
      <c r="BH239" s="194"/>
      <c r="BI239" s="194"/>
      <c r="BJ239" s="194"/>
      <c r="BK239" s="194"/>
      <c r="BL239" s="194"/>
      <c r="BM239" s="194"/>
      <c r="BN239" s="194"/>
      <c r="BO239" s="194"/>
      <c r="BP239" s="194"/>
      <c r="BQ239" s="47"/>
      <c r="BR239" s="194"/>
      <c r="BS239" s="47"/>
      <c r="BT239" s="47"/>
      <c r="BU239" s="47"/>
      <c r="BV239" s="47"/>
      <c r="BW239" s="47"/>
      <c r="BX239" s="194"/>
      <c r="BY239" s="194"/>
      <c r="BZ239" s="194"/>
      <c r="CA239" s="194"/>
      <c r="CB239" s="194"/>
      <c r="CC239" s="47"/>
      <c r="CD239" s="47"/>
      <c r="CE239" s="47"/>
      <c r="CF239" s="47"/>
      <c r="CG239" s="47"/>
      <c r="CH239" s="47"/>
      <c r="CI239" s="47"/>
      <c r="CJ239" s="47"/>
      <c r="CK239" s="47"/>
      <c r="CL239" s="194"/>
      <c r="CM239" s="47"/>
      <c r="CN239" s="47"/>
      <c r="CO239" s="47"/>
      <c r="CP239" s="47"/>
      <c r="CQ239" s="47"/>
      <c r="CR239" s="47"/>
      <c r="CS239" s="47"/>
      <c r="CT239" s="47"/>
      <c r="CU239" s="47"/>
      <c r="CV239" s="47"/>
      <c r="CW239" s="47"/>
      <c r="CX239" s="194"/>
      <c r="CY239" s="47"/>
      <c r="CZ239" s="47"/>
      <c r="DA239" s="47"/>
      <c r="DB239" s="47"/>
      <c r="DC239" s="47"/>
      <c r="DD239" s="47"/>
      <c r="DE239" s="47"/>
      <c r="DF239" s="47"/>
      <c r="DG239" s="47"/>
      <c r="DH239" s="47"/>
      <c r="DI239" s="47"/>
      <c r="DJ239" s="47"/>
      <c r="DK239" s="47"/>
      <c r="DL239" s="47"/>
      <c r="DM239" s="47"/>
      <c r="DN239" s="47"/>
      <c r="DO239" s="47"/>
      <c r="DP239" s="47"/>
      <c r="DQ239" s="47"/>
      <c r="DR239" s="47"/>
      <c r="DS239" s="47"/>
      <c r="DT239" s="47"/>
      <c r="DU239" s="47"/>
      <c r="DV239" s="47"/>
      <c r="DW239" s="198"/>
      <c r="DX239" s="47"/>
      <c r="DY239" s="194"/>
      <c r="DZ239" s="47"/>
      <c r="EA239" s="47"/>
      <c r="EB239" s="194"/>
      <c r="EC239" s="47"/>
      <c r="ED239" s="195"/>
      <c r="EE239" s="195"/>
      <c r="EF239" s="195"/>
      <c r="EG239" s="195"/>
      <c r="EH239" s="195"/>
      <c r="EI239" s="196">
        <f t="shared" si="12"/>
        <v>0</v>
      </c>
      <c r="EJ239" s="201">
        <f t="shared" si="13"/>
        <v>95.25</v>
      </c>
      <c r="EK239" s="202">
        <v>92</v>
      </c>
      <c r="EL239" s="5"/>
      <c r="FA239" s="251">
        <f t="shared" si="14"/>
        <v>75</v>
      </c>
    </row>
    <row r="240" spans="1:157" s="1" customFormat="1" ht="20.149999999999999" customHeight="1" x14ac:dyDescent="0.35">
      <c r="A240" s="47"/>
      <c r="B240" s="189" t="s">
        <v>990</v>
      </c>
      <c r="C240" s="47" t="s">
        <v>206</v>
      </c>
      <c r="D240" s="2" t="s">
        <v>637</v>
      </c>
      <c r="E240" s="2" t="s">
        <v>33</v>
      </c>
      <c r="F240" s="48" t="s">
        <v>304</v>
      </c>
      <c r="G240" s="48" t="s">
        <v>37</v>
      </c>
      <c r="H240" s="57">
        <f>H239/2</f>
        <v>37.5</v>
      </c>
      <c r="I240" s="47"/>
      <c r="J240" s="47"/>
      <c r="K240" s="47"/>
      <c r="L240" s="47"/>
      <c r="M240" s="47"/>
      <c r="N240" s="194"/>
      <c r="O240" s="194"/>
      <c r="P240" s="194"/>
      <c r="Q240" s="194"/>
      <c r="R240" s="47"/>
      <c r="S240" s="194"/>
      <c r="T240" s="47"/>
      <c r="U240" s="194"/>
      <c r="V240" s="47"/>
      <c r="W240" s="194"/>
      <c r="X240" s="47"/>
      <c r="Y240" s="194"/>
      <c r="Z240" s="194"/>
      <c r="AA240" s="47"/>
      <c r="AB240" s="47"/>
      <c r="AC240" s="47"/>
      <c r="AD240" s="47"/>
      <c r="AE240" s="194"/>
      <c r="AF240" s="194"/>
      <c r="AG240" s="194"/>
      <c r="AH240" s="5"/>
      <c r="AI240" s="47"/>
      <c r="AJ240" s="198"/>
      <c r="AK240" s="47"/>
      <c r="AL240" s="47"/>
      <c r="AM240" s="47"/>
      <c r="AN240" s="47"/>
      <c r="AO240" s="47"/>
      <c r="AP240" s="194"/>
      <c r="AQ240" s="47"/>
      <c r="AR240" s="47"/>
      <c r="AS240" s="47"/>
      <c r="AT240" s="194"/>
      <c r="AU240" s="194"/>
      <c r="AV240" s="194"/>
      <c r="AW240" s="194"/>
      <c r="AX240" s="194"/>
      <c r="AY240" s="194"/>
      <c r="AZ240" s="194"/>
      <c r="BA240" s="194"/>
      <c r="BB240" s="194"/>
      <c r="BC240" s="194"/>
      <c r="BD240" s="194"/>
      <c r="BE240" s="194"/>
      <c r="BF240" s="194"/>
      <c r="BG240" s="194"/>
      <c r="BH240" s="194"/>
      <c r="BI240" s="194"/>
      <c r="BJ240" s="194"/>
      <c r="BK240" s="194"/>
      <c r="BL240" s="194"/>
      <c r="BM240" s="194"/>
      <c r="BN240" s="194"/>
      <c r="BO240" s="194"/>
      <c r="BP240" s="194"/>
      <c r="BQ240" s="47"/>
      <c r="BR240" s="194"/>
      <c r="BS240" s="47"/>
      <c r="BT240" s="47"/>
      <c r="BU240" s="47"/>
      <c r="BV240" s="47"/>
      <c r="BW240" s="47"/>
      <c r="BX240" s="194"/>
      <c r="BY240" s="194"/>
      <c r="BZ240" s="194"/>
      <c r="CA240" s="194"/>
      <c r="CB240" s="194"/>
      <c r="CC240" s="47"/>
      <c r="CD240" s="47"/>
      <c r="CE240" s="47"/>
      <c r="CF240" s="47"/>
      <c r="CG240" s="47"/>
      <c r="CH240" s="47"/>
      <c r="CI240" s="47"/>
      <c r="CJ240" s="47"/>
      <c r="CK240" s="47"/>
      <c r="CL240" s="194"/>
      <c r="CM240" s="47"/>
      <c r="CN240" s="47"/>
      <c r="CO240" s="47"/>
      <c r="CP240" s="47"/>
      <c r="CQ240" s="47"/>
      <c r="CR240" s="47"/>
      <c r="CS240" s="47"/>
      <c r="CT240" s="47"/>
      <c r="CU240" s="47"/>
      <c r="CV240" s="47"/>
      <c r="CW240" s="47"/>
      <c r="CX240" s="194"/>
      <c r="CY240" s="47"/>
      <c r="CZ240" s="47">
        <v>48</v>
      </c>
      <c r="DA240" s="47"/>
      <c r="DB240" s="47"/>
      <c r="DC240" s="47"/>
      <c r="DD240" s="47"/>
      <c r="DE240" s="47"/>
      <c r="DF240" s="47"/>
      <c r="DG240" s="47"/>
      <c r="DH240" s="47"/>
      <c r="DI240" s="47"/>
      <c r="DJ240" s="47"/>
      <c r="DK240" s="47"/>
      <c r="DL240" s="47"/>
      <c r="DM240" s="47"/>
      <c r="DN240" s="47"/>
      <c r="DO240" s="47"/>
      <c r="DP240" s="47"/>
      <c r="DQ240" s="47"/>
      <c r="DR240" s="47"/>
      <c r="DS240" s="47"/>
      <c r="DT240" s="47"/>
      <c r="DU240" s="47"/>
      <c r="DV240" s="47"/>
      <c r="DW240" s="198"/>
      <c r="DX240" s="47"/>
      <c r="DY240" s="194"/>
      <c r="DZ240" s="47"/>
      <c r="EA240" s="47"/>
      <c r="EB240" s="194"/>
      <c r="EC240" s="47"/>
      <c r="ED240" s="195"/>
      <c r="EE240" s="195"/>
      <c r="EF240" s="195"/>
      <c r="EG240" s="195"/>
      <c r="EH240" s="195"/>
      <c r="EI240" s="196">
        <f t="shared" si="12"/>
        <v>0</v>
      </c>
      <c r="EJ240" s="201">
        <f t="shared" si="13"/>
        <v>47.625</v>
      </c>
      <c r="EK240" s="202">
        <f>EK239/2</f>
        <v>46</v>
      </c>
      <c r="EL240" s="5"/>
      <c r="FA240" s="251">
        <f t="shared" si="14"/>
        <v>37.5</v>
      </c>
    </row>
    <row r="241" spans="1:157" s="1" customFormat="1" ht="20.149999999999999" customHeight="1" x14ac:dyDescent="0.35">
      <c r="A241" s="47"/>
      <c r="B241" s="189" t="s">
        <v>1465</v>
      </c>
      <c r="C241" s="47" t="s">
        <v>1498</v>
      </c>
      <c r="D241" s="2" t="s">
        <v>637</v>
      </c>
      <c r="E241" s="2" t="s">
        <v>33</v>
      </c>
      <c r="F241" s="48" t="s">
        <v>65</v>
      </c>
      <c r="G241" s="48" t="s">
        <v>37</v>
      </c>
      <c r="H241" s="57">
        <v>5.5</v>
      </c>
      <c r="I241" s="47"/>
      <c r="J241" s="47"/>
      <c r="K241" s="47"/>
      <c r="L241" s="47"/>
      <c r="M241" s="47"/>
      <c r="N241" s="194"/>
      <c r="O241" s="194"/>
      <c r="P241" s="194"/>
      <c r="Q241" s="194"/>
      <c r="R241" s="47"/>
      <c r="S241" s="194"/>
      <c r="T241" s="47"/>
      <c r="U241" s="194"/>
      <c r="V241" s="47"/>
      <c r="W241" s="194"/>
      <c r="X241" s="47"/>
      <c r="Y241" s="194"/>
      <c r="Z241" s="194"/>
      <c r="AA241" s="47"/>
      <c r="AB241" s="47"/>
      <c r="AC241" s="47"/>
      <c r="AD241" s="47"/>
      <c r="AE241" s="194"/>
      <c r="AF241" s="194"/>
      <c r="AG241" s="194"/>
      <c r="AH241" s="5"/>
      <c r="AI241" s="47"/>
      <c r="AJ241" s="198"/>
      <c r="AK241" s="47"/>
      <c r="AL241" s="47">
        <v>7.2</v>
      </c>
      <c r="AM241" s="47"/>
      <c r="AN241" s="47"/>
      <c r="AO241" s="47"/>
      <c r="AP241" s="194"/>
      <c r="AQ241" s="47"/>
      <c r="AR241" s="47"/>
      <c r="AS241" s="47"/>
      <c r="AT241" s="194"/>
      <c r="AU241" s="194"/>
      <c r="AV241" s="194"/>
      <c r="AW241" s="194"/>
      <c r="AX241" s="194"/>
      <c r="AY241" s="194"/>
      <c r="AZ241" s="194"/>
      <c r="BA241" s="194"/>
      <c r="BB241" s="194"/>
      <c r="BC241" s="194"/>
      <c r="BD241" s="194"/>
      <c r="BE241" s="194"/>
      <c r="BF241" s="194"/>
      <c r="BG241" s="194"/>
      <c r="BH241" s="194"/>
      <c r="BI241" s="194"/>
      <c r="BJ241" s="194"/>
      <c r="BK241" s="194"/>
      <c r="BL241" s="194"/>
      <c r="BM241" s="194"/>
      <c r="BN241" s="194"/>
      <c r="BO241" s="194"/>
      <c r="BP241" s="194"/>
      <c r="BQ241" s="47"/>
      <c r="BR241" s="194"/>
      <c r="BS241" s="47"/>
      <c r="BT241" s="47"/>
      <c r="BU241" s="47"/>
      <c r="BV241" s="47"/>
      <c r="BW241" s="47"/>
      <c r="BX241" s="194"/>
      <c r="BY241" s="194"/>
      <c r="BZ241" s="194"/>
      <c r="CA241" s="194"/>
      <c r="CB241" s="194"/>
      <c r="CC241" s="47"/>
      <c r="CD241" s="47"/>
      <c r="CE241" s="47"/>
      <c r="CF241" s="47"/>
      <c r="CG241" s="47"/>
      <c r="CH241" s="47"/>
      <c r="CI241" s="47"/>
      <c r="CJ241" s="47"/>
      <c r="CK241" s="47"/>
      <c r="CL241" s="194">
        <v>7.5</v>
      </c>
      <c r="CM241" s="47"/>
      <c r="CN241" s="47"/>
      <c r="CO241" s="47"/>
      <c r="CP241" s="47">
        <v>7.2</v>
      </c>
      <c r="CQ241" s="47"/>
      <c r="CR241" s="47"/>
      <c r="CS241" s="47"/>
      <c r="CT241" s="47"/>
      <c r="CU241" s="47"/>
      <c r="CV241" s="47"/>
      <c r="CW241" s="47"/>
      <c r="CX241" s="194"/>
      <c r="CY241" s="47"/>
      <c r="CZ241" s="47"/>
      <c r="DA241" s="47"/>
      <c r="DB241" s="47"/>
      <c r="DC241" s="47"/>
      <c r="DD241" s="47"/>
      <c r="DE241" s="47"/>
      <c r="DF241" s="47"/>
      <c r="DG241" s="47"/>
      <c r="DH241" s="47"/>
      <c r="DI241" s="47"/>
      <c r="DJ241" s="47"/>
      <c r="DK241" s="47"/>
      <c r="DL241" s="47"/>
      <c r="DM241" s="47"/>
      <c r="DN241" s="47"/>
      <c r="DO241" s="47"/>
      <c r="DP241" s="47"/>
      <c r="DQ241" s="47"/>
      <c r="DR241" s="47"/>
      <c r="DS241" s="47"/>
      <c r="DT241" s="47"/>
      <c r="DU241" s="47"/>
      <c r="DV241" s="47"/>
      <c r="DW241" s="198"/>
      <c r="DX241" s="47"/>
      <c r="DY241" s="194"/>
      <c r="DZ241" s="47"/>
      <c r="EA241" s="47"/>
      <c r="EB241" s="194"/>
      <c r="EC241" s="47"/>
      <c r="ED241" s="195"/>
      <c r="EE241" s="195"/>
      <c r="EF241" s="195"/>
      <c r="EG241" s="195"/>
      <c r="EH241" s="195"/>
      <c r="EI241" s="196"/>
      <c r="EJ241" s="201"/>
      <c r="EK241" s="202"/>
      <c r="EL241" s="5"/>
      <c r="FA241" s="251">
        <f>H241</f>
        <v>5.5</v>
      </c>
    </row>
    <row r="242" spans="1:157" s="1" customFormat="1" ht="20.149999999999999" customHeight="1" x14ac:dyDescent="0.35">
      <c r="A242" s="47"/>
      <c r="B242" s="189" t="s">
        <v>1489</v>
      </c>
      <c r="C242" s="47" t="s">
        <v>206</v>
      </c>
      <c r="D242" s="2" t="s">
        <v>637</v>
      </c>
      <c r="E242" s="2" t="s">
        <v>33</v>
      </c>
      <c r="F242" s="48" t="s">
        <v>65</v>
      </c>
      <c r="G242" s="48" t="s">
        <v>37</v>
      </c>
      <c r="H242" s="57">
        <f>H240/12.5</f>
        <v>3</v>
      </c>
      <c r="I242" s="47"/>
      <c r="J242" s="47"/>
      <c r="K242" s="47"/>
      <c r="L242" s="47"/>
      <c r="M242" s="47"/>
      <c r="N242" s="194"/>
      <c r="O242" s="194"/>
      <c r="P242" s="194"/>
      <c r="Q242" s="194"/>
      <c r="R242" s="47"/>
      <c r="S242" s="194"/>
      <c r="T242" s="47"/>
      <c r="U242" s="194"/>
      <c r="V242" s="47"/>
      <c r="W242" s="194"/>
      <c r="X242" s="47"/>
      <c r="Y242" s="194"/>
      <c r="Z242" s="194"/>
      <c r="AA242" s="47"/>
      <c r="AB242" s="47"/>
      <c r="AC242" s="47"/>
      <c r="AD242" s="47"/>
      <c r="AE242" s="194"/>
      <c r="AF242" s="194"/>
      <c r="AG242" s="194"/>
      <c r="AH242" s="5"/>
      <c r="AI242" s="47"/>
      <c r="AJ242" s="198"/>
      <c r="AK242" s="47"/>
      <c r="AL242" s="47"/>
      <c r="AM242" s="47"/>
      <c r="AN242" s="47"/>
      <c r="AO242" s="47"/>
      <c r="AP242" s="194"/>
      <c r="AQ242" s="47"/>
      <c r="AR242" s="47"/>
      <c r="AS242" s="47"/>
      <c r="AT242" s="194"/>
      <c r="AU242" s="194"/>
      <c r="AV242" s="194"/>
      <c r="AW242" s="194"/>
      <c r="AX242" s="194"/>
      <c r="AY242" s="194"/>
      <c r="AZ242" s="194"/>
      <c r="BA242" s="194"/>
      <c r="BB242" s="194"/>
      <c r="BC242" s="194"/>
      <c r="BD242" s="194"/>
      <c r="BE242" s="194"/>
      <c r="BF242" s="194"/>
      <c r="BG242" s="194"/>
      <c r="BH242" s="194"/>
      <c r="BI242" s="194"/>
      <c r="BJ242" s="194"/>
      <c r="BK242" s="194"/>
      <c r="BL242" s="194"/>
      <c r="BM242" s="194"/>
      <c r="BN242" s="194"/>
      <c r="BO242" s="194"/>
      <c r="BP242" s="194"/>
      <c r="BQ242" s="47"/>
      <c r="BR242" s="194"/>
      <c r="BS242" s="47"/>
      <c r="BT242" s="47"/>
      <c r="BU242" s="47"/>
      <c r="BV242" s="47"/>
      <c r="BW242" s="47"/>
      <c r="BX242" s="194">
        <v>4</v>
      </c>
      <c r="BY242" s="194"/>
      <c r="BZ242" s="194"/>
      <c r="CA242" s="194"/>
      <c r="CB242" s="194"/>
      <c r="CC242" s="47"/>
      <c r="CD242" s="47"/>
      <c r="CE242" s="47"/>
      <c r="CF242" s="47"/>
      <c r="CG242" s="47"/>
      <c r="CH242" s="47"/>
      <c r="CI242" s="47"/>
      <c r="CJ242" s="47"/>
      <c r="CK242" s="47"/>
      <c r="CL242" s="194"/>
      <c r="CM242" s="47"/>
      <c r="CN242" s="47"/>
      <c r="CO242" s="47"/>
      <c r="CP242" s="47"/>
      <c r="CQ242" s="47"/>
      <c r="CR242" s="47"/>
      <c r="CS242" s="47"/>
      <c r="CT242" s="47"/>
      <c r="CU242" s="47"/>
      <c r="CV242" s="47"/>
      <c r="CW242" s="47"/>
      <c r="CX242" s="194"/>
      <c r="CY242" s="47"/>
      <c r="CZ242" s="47"/>
      <c r="DA242" s="47"/>
      <c r="DB242" s="47"/>
      <c r="DC242" s="47"/>
      <c r="DD242" s="47"/>
      <c r="DE242" s="47"/>
      <c r="DF242" s="47"/>
      <c r="DG242" s="47"/>
      <c r="DH242" s="47"/>
      <c r="DI242" s="47"/>
      <c r="DJ242" s="47"/>
      <c r="DK242" s="47"/>
      <c r="DL242" s="47"/>
      <c r="DM242" s="47"/>
      <c r="DN242" s="47"/>
      <c r="DO242" s="47"/>
      <c r="DP242" s="47"/>
      <c r="DQ242" s="47"/>
      <c r="DR242" s="47"/>
      <c r="DS242" s="47"/>
      <c r="DT242" s="47"/>
      <c r="DU242" s="47"/>
      <c r="DV242" s="47"/>
      <c r="DW242" s="198"/>
      <c r="DX242" s="47"/>
      <c r="DY242" s="194"/>
      <c r="DZ242" s="47"/>
      <c r="EA242" s="47"/>
      <c r="EB242" s="194"/>
      <c r="EC242" s="47"/>
      <c r="ED242" s="195"/>
      <c r="EE242" s="195"/>
      <c r="EF242" s="195"/>
      <c r="EG242" s="195"/>
      <c r="EH242" s="195"/>
      <c r="EI242" s="196"/>
      <c r="EJ242" s="201"/>
      <c r="EK242" s="202"/>
      <c r="EL242" s="5"/>
      <c r="FA242" s="251">
        <f>H242</f>
        <v>3</v>
      </c>
    </row>
    <row r="243" spans="1:157" s="1" customFormat="1" ht="20.149999999999999" customHeight="1" x14ac:dyDescent="0.35">
      <c r="A243" s="47"/>
      <c r="B243" s="189" t="s">
        <v>991</v>
      </c>
      <c r="C243" s="47" t="s">
        <v>1422</v>
      </c>
      <c r="D243" s="2" t="s">
        <v>637</v>
      </c>
      <c r="E243" s="2" t="s">
        <v>33</v>
      </c>
      <c r="F243" s="48" t="s">
        <v>31</v>
      </c>
      <c r="G243" s="48" t="s">
        <v>37</v>
      </c>
      <c r="H243" s="57">
        <v>3.8</v>
      </c>
      <c r="I243" s="47"/>
      <c r="J243" s="47"/>
      <c r="K243" s="47"/>
      <c r="L243" s="47"/>
      <c r="M243" s="47"/>
      <c r="N243" s="194"/>
      <c r="O243" s="194"/>
      <c r="P243" s="194"/>
      <c r="Q243" s="194"/>
      <c r="R243" s="47"/>
      <c r="S243" s="194"/>
      <c r="T243" s="47"/>
      <c r="U243" s="194"/>
      <c r="V243" s="47"/>
      <c r="W243" s="194"/>
      <c r="X243" s="47"/>
      <c r="Y243" s="194"/>
      <c r="Z243" s="194"/>
      <c r="AA243" s="47"/>
      <c r="AB243" s="47"/>
      <c r="AC243" s="47"/>
      <c r="AD243" s="47"/>
      <c r="AE243" s="194"/>
      <c r="AF243" s="194"/>
      <c r="AG243" s="194"/>
      <c r="AH243" s="5"/>
      <c r="AI243" s="47"/>
      <c r="AJ243" s="198"/>
      <c r="AK243" s="47"/>
      <c r="AL243" s="47"/>
      <c r="AM243" s="47"/>
      <c r="AN243" s="47"/>
      <c r="AO243" s="47"/>
      <c r="AP243" s="194"/>
      <c r="AQ243" s="47"/>
      <c r="AR243" s="47"/>
      <c r="AS243" s="47"/>
      <c r="AT243" s="194"/>
      <c r="AU243" s="194"/>
      <c r="AV243" s="194"/>
      <c r="AW243" s="194"/>
      <c r="AX243" s="194"/>
      <c r="AY243" s="194"/>
      <c r="AZ243" s="194"/>
      <c r="BA243" s="194"/>
      <c r="BB243" s="194"/>
      <c r="BC243" s="194"/>
      <c r="BD243" s="194"/>
      <c r="BE243" s="194"/>
      <c r="BF243" s="194"/>
      <c r="BG243" s="194"/>
      <c r="BH243" s="194"/>
      <c r="BI243" s="194"/>
      <c r="BJ243" s="194"/>
      <c r="BK243" s="194"/>
      <c r="BL243" s="194"/>
      <c r="BM243" s="194"/>
      <c r="BN243" s="194"/>
      <c r="BO243" s="194"/>
      <c r="BP243" s="194"/>
      <c r="BQ243" s="47"/>
      <c r="BR243" s="194"/>
      <c r="BS243" s="47"/>
      <c r="BT243" s="47"/>
      <c r="BU243" s="47"/>
      <c r="BV243" s="47"/>
      <c r="BW243" s="47"/>
      <c r="BX243" s="194"/>
      <c r="BY243" s="194"/>
      <c r="BZ243" s="194"/>
      <c r="CA243" s="194"/>
      <c r="CB243" s="194"/>
      <c r="CC243" s="47"/>
      <c r="CD243" s="47"/>
      <c r="CE243" s="47"/>
      <c r="CF243" s="47"/>
      <c r="CG243" s="47"/>
      <c r="CH243" s="47"/>
      <c r="CI243" s="47"/>
      <c r="CJ243" s="47"/>
      <c r="CK243" s="47"/>
      <c r="CL243" s="194">
        <v>6</v>
      </c>
      <c r="CM243" s="47"/>
      <c r="CN243" s="47"/>
      <c r="CO243" s="47"/>
      <c r="CP243" s="47"/>
      <c r="CQ243" s="47"/>
      <c r="CR243" s="47"/>
      <c r="CS243" s="47"/>
      <c r="CT243" s="47"/>
      <c r="CU243" s="47"/>
      <c r="CV243" s="47"/>
      <c r="CW243" s="47"/>
      <c r="CX243" s="194"/>
      <c r="CY243" s="47"/>
      <c r="CZ243" s="47"/>
      <c r="DA243" s="47"/>
      <c r="DB243" s="47"/>
      <c r="DC243" s="47"/>
      <c r="DD243" s="47"/>
      <c r="DE243" s="47"/>
      <c r="DF243" s="47"/>
      <c r="DG243" s="47"/>
      <c r="DH243" s="47"/>
      <c r="DI243" s="47"/>
      <c r="DJ243" s="47"/>
      <c r="DK243" s="47"/>
      <c r="DL243" s="47"/>
      <c r="DM243" s="47"/>
      <c r="DN243" s="47"/>
      <c r="DO243" s="47"/>
      <c r="DP243" s="47"/>
      <c r="DQ243" s="47"/>
      <c r="DR243" s="47"/>
      <c r="DS243" s="47"/>
      <c r="DT243" s="47"/>
      <c r="DU243" s="47"/>
      <c r="DV243" s="47"/>
      <c r="DW243" s="198"/>
      <c r="DX243" s="47"/>
      <c r="DY243" s="194"/>
      <c r="DZ243" s="47"/>
      <c r="EA243" s="47"/>
      <c r="EB243" s="194"/>
      <c r="EC243" s="47"/>
      <c r="ED243" s="195"/>
      <c r="EE243" s="195"/>
      <c r="EF243" s="195"/>
      <c r="EG243" s="195"/>
      <c r="EH243" s="195">
        <v>9</v>
      </c>
      <c r="EI243" s="196">
        <f t="shared" si="12"/>
        <v>34.199999999999996</v>
      </c>
      <c r="EJ243" s="201">
        <f t="shared" si="13"/>
        <v>4.8259999999999996</v>
      </c>
      <c r="EK243" s="202">
        <f>AVERAGE(I243:EC243)</f>
        <v>6</v>
      </c>
      <c r="EL243" s="5"/>
      <c r="FA243" s="251">
        <f t="shared" si="14"/>
        <v>3.8</v>
      </c>
    </row>
    <row r="244" spans="1:157" s="1" customFormat="1" ht="20.149999999999999" customHeight="1" x14ac:dyDescent="0.35">
      <c r="A244" s="47"/>
      <c r="B244" s="189" t="s">
        <v>1224</v>
      </c>
      <c r="C244" s="47" t="s">
        <v>1422</v>
      </c>
      <c r="D244" s="2" t="s">
        <v>637</v>
      </c>
      <c r="E244" s="2" t="s">
        <v>33</v>
      </c>
      <c r="F244" s="48" t="s">
        <v>683</v>
      </c>
      <c r="G244" s="48" t="s">
        <v>37</v>
      </c>
      <c r="H244" s="57">
        <v>1.9</v>
      </c>
      <c r="I244" s="47"/>
      <c r="J244" s="47"/>
      <c r="K244" s="47"/>
      <c r="L244" s="47"/>
      <c r="M244" s="47"/>
      <c r="N244" s="194"/>
      <c r="O244" s="194"/>
      <c r="P244" s="194"/>
      <c r="Q244" s="194"/>
      <c r="R244" s="47"/>
      <c r="S244" s="194"/>
      <c r="T244" s="47"/>
      <c r="U244" s="194"/>
      <c r="V244" s="47"/>
      <c r="W244" s="194"/>
      <c r="X244" s="47"/>
      <c r="Y244" s="194"/>
      <c r="Z244" s="194"/>
      <c r="AA244" s="47"/>
      <c r="AB244" s="47"/>
      <c r="AC244" s="47"/>
      <c r="AD244" s="47"/>
      <c r="AE244" s="194"/>
      <c r="AF244" s="194"/>
      <c r="AG244" s="194"/>
      <c r="AH244" s="5"/>
      <c r="AI244" s="47"/>
      <c r="AJ244" s="198"/>
      <c r="AK244" s="47"/>
      <c r="AL244" s="47"/>
      <c r="AM244" s="47"/>
      <c r="AN244" s="47"/>
      <c r="AO244" s="47"/>
      <c r="AP244" s="194"/>
      <c r="AQ244" s="47"/>
      <c r="AR244" s="47"/>
      <c r="AS244" s="47"/>
      <c r="AT244" s="194"/>
      <c r="AU244" s="194"/>
      <c r="AV244" s="194"/>
      <c r="AW244" s="194"/>
      <c r="AX244" s="194"/>
      <c r="AY244" s="194"/>
      <c r="AZ244" s="194"/>
      <c r="BA244" s="194"/>
      <c r="BB244" s="194"/>
      <c r="BC244" s="194"/>
      <c r="BD244" s="194"/>
      <c r="BE244" s="194"/>
      <c r="BF244" s="194"/>
      <c r="BG244" s="194"/>
      <c r="BH244" s="194"/>
      <c r="BI244" s="194"/>
      <c r="BJ244" s="194"/>
      <c r="BK244" s="194"/>
      <c r="BL244" s="194"/>
      <c r="BM244" s="194"/>
      <c r="BN244" s="194"/>
      <c r="BO244" s="194"/>
      <c r="BP244" s="194"/>
      <c r="BQ244" s="47"/>
      <c r="BR244" s="194"/>
      <c r="BS244" s="47"/>
      <c r="BT244" s="47"/>
      <c r="BU244" s="47"/>
      <c r="BV244" s="47"/>
      <c r="BW244" s="47"/>
      <c r="BX244" s="194"/>
      <c r="BY244" s="194"/>
      <c r="BZ244" s="194"/>
      <c r="CA244" s="194"/>
      <c r="CB244" s="194"/>
      <c r="CC244" s="47"/>
      <c r="CD244" s="47"/>
      <c r="CE244" s="47"/>
      <c r="CF244" s="47"/>
      <c r="CG244" s="47"/>
      <c r="CH244" s="47"/>
      <c r="CI244" s="47"/>
      <c r="CJ244" s="47"/>
      <c r="CK244" s="47"/>
      <c r="CL244" s="194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194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198"/>
      <c r="DX244" s="47"/>
      <c r="DY244" s="194"/>
      <c r="DZ244" s="47"/>
      <c r="EA244" s="47"/>
      <c r="EB244" s="194"/>
      <c r="EC244" s="47"/>
      <c r="ED244" s="195"/>
      <c r="EE244" s="195"/>
      <c r="EF244" s="195"/>
      <c r="EG244" s="195">
        <v>1.8</v>
      </c>
      <c r="EH244" s="195"/>
      <c r="EI244" s="196"/>
      <c r="EJ244" s="201"/>
      <c r="EK244" s="202"/>
      <c r="EL244" s="5"/>
      <c r="FA244" s="251">
        <f t="shared" si="14"/>
        <v>1.9</v>
      </c>
    </row>
    <row r="245" spans="1:157" s="1" customFormat="1" ht="20.149999999999999" customHeight="1" x14ac:dyDescent="0.35">
      <c r="A245" s="47"/>
      <c r="B245" s="189" t="s">
        <v>992</v>
      </c>
      <c r="C245" s="47" t="s">
        <v>201</v>
      </c>
      <c r="D245" s="2"/>
      <c r="E245" s="2" t="s">
        <v>87</v>
      </c>
      <c r="F245" s="48" t="s">
        <v>77</v>
      </c>
      <c r="G245" s="48" t="s">
        <v>76</v>
      </c>
      <c r="H245" s="57">
        <v>3</v>
      </c>
      <c r="I245" s="47"/>
      <c r="J245" s="47"/>
      <c r="K245" s="47"/>
      <c r="L245" s="47"/>
      <c r="M245" s="47"/>
      <c r="N245" s="194"/>
      <c r="O245" s="194"/>
      <c r="P245" s="194"/>
      <c r="Q245" s="194"/>
      <c r="R245" s="47"/>
      <c r="S245" s="194"/>
      <c r="T245" s="47"/>
      <c r="U245" s="194"/>
      <c r="V245" s="47"/>
      <c r="W245" s="194"/>
      <c r="X245" s="47"/>
      <c r="Y245" s="194"/>
      <c r="Z245" s="194"/>
      <c r="AA245" s="47"/>
      <c r="AB245" s="47"/>
      <c r="AC245" s="47"/>
      <c r="AD245" s="47"/>
      <c r="AE245" s="194"/>
      <c r="AF245" s="194"/>
      <c r="AG245" s="194"/>
      <c r="AH245" s="5"/>
      <c r="AI245" s="47"/>
      <c r="AJ245" s="223"/>
      <c r="AK245" s="47"/>
      <c r="AL245" s="47"/>
      <c r="AM245" s="47"/>
      <c r="AN245" s="47"/>
      <c r="AO245" s="47"/>
      <c r="AP245" s="194"/>
      <c r="AQ245" s="47"/>
      <c r="AR245" s="47">
        <v>5</v>
      </c>
      <c r="AS245" s="47"/>
      <c r="AT245" s="194"/>
      <c r="AU245" s="194"/>
      <c r="AV245" s="194"/>
      <c r="AW245" s="194"/>
      <c r="AX245" s="194"/>
      <c r="AY245" s="194"/>
      <c r="AZ245" s="194"/>
      <c r="BA245" s="194"/>
      <c r="BB245" s="194"/>
      <c r="BC245" s="194"/>
      <c r="BD245" s="194"/>
      <c r="BE245" s="194"/>
      <c r="BF245" s="194"/>
      <c r="BG245" s="194"/>
      <c r="BH245" s="194"/>
      <c r="BI245" s="194"/>
      <c r="BJ245" s="194"/>
      <c r="BK245" s="194"/>
      <c r="BL245" s="194"/>
      <c r="BM245" s="194"/>
      <c r="BN245" s="194"/>
      <c r="BO245" s="194"/>
      <c r="BP245" s="194"/>
      <c r="BQ245" s="47">
        <v>4.5</v>
      </c>
      <c r="BR245" s="194"/>
      <c r="BS245" s="47"/>
      <c r="BT245" s="47"/>
      <c r="BU245" s="47"/>
      <c r="BV245" s="47"/>
      <c r="BW245" s="47"/>
      <c r="BX245" s="194"/>
      <c r="BY245" s="194"/>
      <c r="BZ245" s="194"/>
      <c r="CA245" s="194"/>
      <c r="CB245" s="194"/>
      <c r="CC245" s="47"/>
      <c r="CD245" s="47"/>
      <c r="CE245" s="47"/>
      <c r="CF245" s="47"/>
      <c r="CG245" s="47"/>
      <c r="CH245" s="47"/>
      <c r="CI245" s="47"/>
      <c r="CJ245" s="47"/>
      <c r="CK245" s="224"/>
      <c r="CL245" s="194">
        <v>4.5</v>
      </c>
      <c r="CM245" s="47"/>
      <c r="CN245" s="47"/>
      <c r="CO245" s="47">
        <v>5</v>
      </c>
      <c r="CP245" s="47">
        <v>5</v>
      </c>
      <c r="CQ245" s="47"/>
      <c r="CR245" s="47"/>
      <c r="CS245" s="47"/>
      <c r="CT245" s="47"/>
      <c r="CU245" s="47"/>
      <c r="CV245" s="47">
        <v>5</v>
      </c>
      <c r="CW245" s="47"/>
      <c r="CX245" s="194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198"/>
      <c r="DX245" s="47"/>
      <c r="DY245" s="194"/>
      <c r="DZ245" s="47"/>
      <c r="EA245" s="47"/>
      <c r="EB245" s="194"/>
      <c r="EC245" s="47"/>
      <c r="ED245" s="195"/>
      <c r="EE245" s="195"/>
      <c r="EF245" s="195"/>
      <c r="EG245" s="195"/>
      <c r="EH245" s="195">
        <v>36</v>
      </c>
      <c r="EI245" s="196">
        <f t="shared" si="12"/>
        <v>108</v>
      </c>
      <c r="EJ245" s="201">
        <f t="shared" si="13"/>
        <v>3.81</v>
      </c>
      <c r="EK245" s="202">
        <v>4</v>
      </c>
      <c r="EL245" s="5"/>
      <c r="FA245" s="251">
        <f t="shared" si="14"/>
        <v>3</v>
      </c>
    </row>
    <row r="246" spans="1:157" s="89" customFormat="1" ht="20.149999999999999" customHeight="1" x14ac:dyDescent="0.35">
      <c r="A246" s="47"/>
      <c r="B246" s="189" t="s">
        <v>993</v>
      </c>
      <c r="C246" s="47" t="s">
        <v>163</v>
      </c>
      <c r="D246" s="252" t="s">
        <v>636</v>
      </c>
      <c r="E246" s="48" t="s">
        <v>686</v>
      </c>
      <c r="F246" s="48" t="s">
        <v>301</v>
      </c>
      <c r="G246" s="48"/>
      <c r="H246" s="328">
        <f>42/6</f>
        <v>7</v>
      </c>
      <c r="I246" s="47"/>
      <c r="J246" s="47"/>
      <c r="K246" s="47"/>
      <c r="L246" s="47"/>
      <c r="M246" s="47"/>
      <c r="N246" s="194"/>
      <c r="O246" s="194"/>
      <c r="P246" s="194"/>
      <c r="Q246" s="194"/>
      <c r="R246" s="47"/>
      <c r="S246" s="194"/>
      <c r="T246" s="47"/>
      <c r="U246" s="194"/>
      <c r="V246" s="47"/>
      <c r="W246" s="194"/>
      <c r="X246" s="47"/>
      <c r="Y246" s="194"/>
      <c r="Z246" s="194"/>
      <c r="AA246" s="47"/>
      <c r="AB246" s="47"/>
      <c r="AC246" s="47"/>
      <c r="AD246" s="47"/>
      <c r="AE246" s="194"/>
      <c r="AF246" s="194"/>
      <c r="AG246" s="194"/>
      <c r="AH246" s="355"/>
      <c r="AI246" s="47"/>
      <c r="AJ246" s="198"/>
      <c r="AK246" s="47"/>
      <c r="AL246" s="47"/>
      <c r="AM246" s="47"/>
      <c r="AN246" s="47"/>
      <c r="AO246" s="47"/>
      <c r="AP246" s="194"/>
      <c r="AQ246" s="47"/>
      <c r="AR246" s="47"/>
      <c r="AS246" s="47"/>
      <c r="AT246" s="194"/>
      <c r="AU246" s="194"/>
      <c r="AV246" s="194"/>
      <c r="AW246" s="194"/>
      <c r="AX246" s="194"/>
      <c r="AY246" s="194"/>
      <c r="AZ246" s="194"/>
      <c r="BA246" s="194"/>
      <c r="BB246" s="194"/>
      <c r="BC246" s="194"/>
      <c r="BD246" s="194"/>
      <c r="BE246" s="194"/>
      <c r="BF246" s="194"/>
      <c r="BG246" s="194"/>
      <c r="BH246" s="194"/>
      <c r="BI246" s="194"/>
      <c r="BJ246" s="194"/>
      <c r="BK246" s="194"/>
      <c r="BL246" s="194"/>
      <c r="BM246" s="194"/>
      <c r="BN246" s="194"/>
      <c r="BO246" s="194"/>
      <c r="BP246" s="194"/>
      <c r="BQ246" s="47"/>
      <c r="BR246" s="194"/>
      <c r="BS246" s="47"/>
      <c r="BT246" s="47"/>
      <c r="BU246" s="47"/>
      <c r="BV246" s="47"/>
      <c r="BW246" s="47"/>
      <c r="BX246" s="194"/>
      <c r="BY246" s="194"/>
      <c r="BZ246" s="194"/>
      <c r="CA246" s="194"/>
      <c r="CB246" s="194"/>
      <c r="CC246" s="47"/>
      <c r="CD246" s="47"/>
      <c r="CE246" s="47"/>
      <c r="CF246" s="47"/>
      <c r="CG246" s="47"/>
      <c r="CH246" s="47"/>
      <c r="CI246" s="47"/>
      <c r="CJ246" s="47"/>
      <c r="CK246" s="47"/>
      <c r="CL246" s="194"/>
      <c r="CM246" s="47"/>
      <c r="CN246" s="47"/>
      <c r="CO246" s="47"/>
      <c r="CP246" s="47"/>
      <c r="CQ246" s="47"/>
      <c r="CR246" s="47"/>
      <c r="CS246" s="198"/>
      <c r="CT246" s="47"/>
      <c r="CU246" s="47"/>
      <c r="CV246" s="198">
        <v>9.5</v>
      </c>
      <c r="CW246" s="47"/>
      <c r="CX246" s="194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198"/>
      <c r="DX246" s="47"/>
      <c r="DY246" s="194"/>
      <c r="DZ246" s="47"/>
      <c r="EA246" s="47"/>
      <c r="EB246" s="194"/>
      <c r="EC246" s="47"/>
      <c r="ED246" s="195"/>
      <c r="EE246" s="195"/>
      <c r="EF246" s="195"/>
      <c r="EG246" s="195"/>
      <c r="EH246" s="195"/>
      <c r="EI246" s="196">
        <f t="shared" si="12"/>
        <v>0</v>
      </c>
      <c r="EJ246" s="201">
        <f t="shared" si="13"/>
        <v>8.89</v>
      </c>
      <c r="EK246" s="202">
        <v>9</v>
      </c>
      <c r="EL246" s="355"/>
      <c r="FA246" s="251">
        <f t="shared" si="14"/>
        <v>7</v>
      </c>
    </row>
    <row r="247" spans="1:157" s="89" customFormat="1" ht="20.149999999999999" customHeight="1" x14ac:dyDescent="0.35">
      <c r="A247" s="47"/>
      <c r="B247" s="189" t="s">
        <v>1262</v>
      </c>
      <c r="C247" s="47" t="s">
        <v>163</v>
      </c>
      <c r="D247" s="252" t="s">
        <v>636</v>
      </c>
      <c r="E247" s="48" t="s">
        <v>1263</v>
      </c>
      <c r="F247" s="48" t="s">
        <v>301</v>
      </c>
      <c r="G247" s="48"/>
      <c r="H247" s="57">
        <v>7.2</v>
      </c>
      <c r="I247" s="47"/>
      <c r="J247" s="47"/>
      <c r="K247" s="47"/>
      <c r="L247" s="47"/>
      <c r="M247" s="47"/>
      <c r="N247" s="194"/>
      <c r="O247" s="194"/>
      <c r="P247" s="194"/>
      <c r="Q247" s="194"/>
      <c r="R247" s="47"/>
      <c r="S247" s="194"/>
      <c r="T247" s="47"/>
      <c r="U247" s="194"/>
      <c r="V247" s="47"/>
      <c r="W247" s="194"/>
      <c r="X247" s="47"/>
      <c r="Y247" s="194"/>
      <c r="Z247" s="194"/>
      <c r="AA247" s="47"/>
      <c r="AB247" s="47"/>
      <c r="AC247" s="47"/>
      <c r="AD247" s="47"/>
      <c r="AE247" s="194"/>
      <c r="AF247" s="194"/>
      <c r="AG247" s="194"/>
      <c r="AH247" s="355"/>
      <c r="AI247" s="47"/>
      <c r="AJ247" s="198"/>
      <c r="AK247" s="47"/>
      <c r="AL247" s="47"/>
      <c r="AM247" s="47"/>
      <c r="AN247" s="47"/>
      <c r="AO247" s="47"/>
      <c r="AP247" s="194"/>
      <c r="AQ247" s="47"/>
      <c r="AR247" s="47"/>
      <c r="AS247" s="47"/>
      <c r="AT247" s="194"/>
      <c r="AU247" s="194"/>
      <c r="AV247" s="194"/>
      <c r="AW247" s="194"/>
      <c r="AX247" s="194"/>
      <c r="AY247" s="194"/>
      <c r="AZ247" s="194"/>
      <c r="BA247" s="194"/>
      <c r="BB247" s="194"/>
      <c r="BC247" s="194"/>
      <c r="BD247" s="194"/>
      <c r="BE247" s="194"/>
      <c r="BF247" s="194"/>
      <c r="BG247" s="194"/>
      <c r="BH247" s="194"/>
      <c r="BI247" s="194"/>
      <c r="BJ247" s="194"/>
      <c r="BK247" s="194"/>
      <c r="BL247" s="194"/>
      <c r="BM247" s="194"/>
      <c r="BN247" s="194"/>
      <c r="BO247" s="194"/>
      <c r="BP247" s="194"/>
      <c r="BQ247" s="47"/>
      <c r="BR247" s="194"/>
      <c r="BS247" s="47"/>
      <c r="BT247" s="47"/>
      <c r="BU247" s="47"/>
      <c r="BV247" s="47"/>
      <c r="BW247" s="47"/>
      <c r="BX247" s="194"/>
      <c r="BY247" s="194"/>
      <c r="BZ247" s="194"/>
      <c r="CA247" s="194"/>
      <c r="CB247" s="194"/>
      <c r="CC247" s="47"/>
      <c r="CD247" s="47"/>
      <c r="CE247" s="47"/>
      <c r="CF247" s="47"/>
      <c r="CG247" s="47"/>
      <c r="CH247" s="47"/>
      <c r="CI247" s="47"/>
      <c r="CJ247" s="47"/>
      <c r="CK247" s="47"/>
      <c r="CL247" s="194"/>
      <c r="CM247" s="47"/>
      <c r="CN247" s="47"/>
      <c r="CO247" s="47"/>
      <c r="CP247" s="47"/>
      <c r="CQ247" s="47"/>
      <c r="CR247" s="47"/>
      <c r="CS247" s="198"/>
      <c r="CT247" s="47"/>
      <c r="CU247" s="47"/>
      <c r="CV247" s="198"/>
      <c r="CW247" s="47"/>
      <c r="CX247" s="194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198"/>
      <c r="DX247" s="47"/>
      <c r="DY247" s="194"/>
      <c r="DZ247" s="47"/>
      <c r="EA247" s="47"/>
      <c r="EB247" s="194"/>
      <c r="EC247" s="47"/>
      <c r="ED247" s="195"/>
      <c r="EE247" s="195"/>
      <c r="EF247" s="195"/>
      <c r="EG247" s="195"/>
      <c r="EH247" s="195"/>
      <c r="EI247" s="196"/>
      <c r="EJ247" s="201"/>
      <c r="EK247" s="202"/>
      <c r="EL247" s="355"/>
      <c r="FA247" s="251">
        <f t="shared" si="14"/>
        <v>7.2</v>
      </c>
    </row>
    <row r="248" spans="1:157" s="89" customFormat="1" ht="20.149999999999999" customHeight="1" x14ac:dyDescent="0.35">
      <c r="A248" s="47"/>
      <c r="B248" s="189" t="s">
        <v>994</v>
      </c>
      <c r="C248" s="47" t="s">
        <v>687</v>
      </c>
      <c r="D248" s="252" t="s">
        <v>636</v>
      </c>
      <c r="E248" s="48"/>
      <c r="F248" s="48" t="s">
        <v>301</v>
      </c>
      <c r="G248" s="48"/>
      <c r="H248" s="57">
        <v>7.2</v>
      </c>
      <c r="I248" s="47"/>
      <c r="J248" s="47"/>
      <c r="K248" s="47"/>
      <c r="L248" s="47"/>
      <c r="M248" s="47"/>
      <c r="N248" s="194"/>
      <c r="O248" s="194"/>
      <c r="P248" s="194"/>
      <c r="Q248" s="194"/>
      <c r="R248" s="47"/>
      <c r="S248" s="194"/>
      <c r="T248" s="47"/>
      <c r="U248" s="194"/>
      <c r="V248" s="47"/>
      <c r="W248" s="194"/>
      <c r="X248" s="47"/>
      <c r="Y248" s="194"/>
      <c r="Z248" s="194"/>
      <c r="AA248" s="47"/>
      <c r="AB248" s="47"/>
      <c r="AC248" s="47"/>
      <c r="AD248" s="47"/>
      <c r="AE248" s="194"/>
      <c r="AF248" s="194"/>
      <c r="AG248" s="194"/>
      <c r="AH248" s="355"/>
      <c r="AI248" s="47"/>
      <c r="AJ248" s="198"/>
      <c r="AK248" s="47"/>
      <c r="AL248" s="47"/>
      <c r="AM248" s="47"/>
      <c r="AN248" s="47"/>
      <c r="AO248" s="47"/>
      <c r="AP248" s="194"/>
      <c r="AQ248" s="47"/>
      <c r="AR248" s="47"/>
      <c r="AS248" s="47"/>
      <c r="AT248" s="194"/>
      <c r="AU248" s="194"/>
      <c r="AV248" s="194"/>
      <c r="AW248" s="194"/>
      <c r="AX248" s="194"/>
      <c r="AY248" s="194"/>
      <c r="AZ248" s="194"/>
      <c r="BA248" s="194"/>
      <c r="BB248" s="194"/>
      <c r="BC248" s="194"/>
      <c r="BD248" s="194"/>
      <c r="BE248" s="194"/>
      <c r="BF248" s="194"/>
      <c r="BG248" s="194"/>
      <c r="BH248" s="194"/>
      <c r="BI248" s="194"/>
      <c r="BJ248" s="194"/>
      <c r="BK248" s="194"/>
      <c r="BL248" s="194"/>
      <c r="BM248" s="194"/>
      <c r="BN248" s="194"/>
      <c r="BO248" s="194"/>
      <c r="BP248" s="194"/>
      <c r="BQ248" s="47"/>
      <c r="BR248" s="194"/>
      <c r="BS248" s="47"/>
      <c r="BT248" s="47"/>
      <c r="BU248" s="47"/>
      <c r="BV248" s="47"/>
      <c r="BW248" s="47"/>
      <c r="BX248" s="194"/>
      <c r="BY248" s="194"/>
      <c r="BZ248" s="194"/>
      <c r="CA248" s="194"/>
      <c r="CB248" s="194"/>
      <c r="CC248" s="47"/>
      <c r="CD248" s="47"/>
      <c r="CE248" s="47"/>
      <c r="CF248" s="47"/>
      <c r="CG248" s="47"/>
      <c r="CH248" s="47"/>
      <c r="CI248" s="47"/>
      <c r="CJ248" s="47"/>
      <c r="CK248" s="47"/>
      <c r="CL248" s="194"/>
      <c r="CM248" s="47"/>
      <c r="CN248" s="47"/>
      <c r="CO248" s="47"/>
      <c r="CP248" s="47"/>
      <c r="CQ248" s="47"/>
      <c r="CR248" s="47"/>
      <c r="CS248" s="198"/>
      <c r="CT248" s="47"/>
      <c r="CU248" s="47"/>
      <c r="CV248" s="47"/>
      <c r="CW248" s="47"/>
      <c r="CX248" s="194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198"/>
      <c r="DX248" s="47"/>
      <c r="DY248" s="194"/>
      <c r="DZ248" s="47"/>
      <c r="EA248" s="47"/>
      <c r="EB248" s="194"/>
      <c r="EC248" s="47"/>
      <c r="ED248" s="195"/>
      <c r="EE248" s="195"/>
      <c r="EF248" s="195"/>
      <c r="EG248" s="195"/>
      <c r="EH248" s="195"/>
      <c r="EI248" s="196">
        <f t="shared" si="12"/>
        <v>0</v>
      </c>
      <c r="EJ248" s="201">
        <f t="shared" si="13"/>
        <v>9.1440000000000001</v>
      </c>
      <c r="EK248" s="202">
        <v>9</v>
      </c>
      <c r="EL248" s="355"/>
      <c r="FA248" s="251">
        <f t="shared" si="14"/>
        <v>7.2</v>
      </c>
    </row>
    <row r="249" spans="1:157" s="1" customFormat="1" ht="20.149999999999999" customHeight="1" x14ac:dyDescent="0.35">
      <c r="A249" s="2"/>
      <c r="B249" s="189" t="s">
        <v>995</v>
      </c>
      <c r="C249" s="47" t="s">
        <v>202</v>
      </c>
      <c r="D249" s="2" t="s">
        <v>770</v>
      </c>
      <c r="E249" s="2" t="s">
        <v>545</v>
      </c>
      <c r="F249" s="48" t="s">
        <v>72</v>
      </c>
      <c r="G249" s="48" t="s">
        <v>30</v>
      </c>
      <c r="H249" s="57">
        <v>0.36</v>
      </c>
      <c r="I249" s="47"/>
      <c r="J249" s="47"/>
      <c r="K249" s="47"/>
      <c r="L249" s="47"/>
      <c r="M249" s="47"/>
      <c r="N249" s="194"/>
      <c r="O249" s="194"/>
      <c r="P249" s="194"/>
      <c r="Q249" s="194"/>
      <c r="R249" s="47"/>
      <c r="S249" s="194"/>
      <c r="T249" s="47"/>
      <c r="U249" s="194"/>
      <c r="V249" s="47"/>
      <c r="W249" s="194"/>
      <c r="X249" s="47"/>
      <c r="Y249" s="194"/>
      <c r="Z249" s="194"/>
      <c r="AA249" s="47"/>
      <c r="AB249" s="47"/>
      <c r="AC249" s="47"/>
      <c r="AD249" s="47"/>
      <c r="AE249" s="194"/>
      <c r="AF249" s="194"/>
      <c r="AG249" s="194"/>
      <c r="AH249" s="5"/>
      <c r="AI249" s="47"/>
      <c r="AJ249" s="223"/>
      <c r="AK249" s="47"/>
      <c r="AL249" s="47"/>
      <c r="AM249" s="47"/>
      <c r="AN249" s="47"/>
      <c r="AO249" s="47"/>
      <c r="AP249" s="194"/>
      <c r="AQ249" s="47"/>
      <c r="AR249" s="47"/>
      <c r="AS249" s="47"/>
      <c r="AT249" s="194"/>
      <c r="AU249" s="194"/>
      <c r="AV249" s="194"/>
      <c r="AW249" s="194"/>
      <c r="AX249" s="194"/>
      <c r="AY249" s="194"/>
      <c r="AZ249" s="194"/>
      <c r="BA249" s="194"/>
      <c r="BB249" s="194"/>
      <c r="BC249" s="194"/>
      <c r="BD249" s="194"/>
      <c r="BE249" s="194"/>
      <c r="BF249" s="194"/>
      <c r="BG249" s="198">
        <v>0.55000000000000004</v>
      </c>
      <c r="BH249" s="194"/>
      <c r="BI249" s="194"/>
      <c r="BJ249" s="194"/>
      <c r="BK249" s="194"/>
      <c r="BL249" s="194"/>
      <c r="BM249" s="194"/>
      <c r="BN249" s="194"/>
      <c r="BO249" s="194"/>
      <c r="BP249" s="194"/>
      <c r="BQ249" s="47"/>
      <c r="BR249" s="194"/>
      <c r="BS249" s="47"/>
      <c r="BT249" s="47"/>
      <c r="BU249" s="47"/>
      <c r="BV249" s="47"/>
      <c r="BW249" s="47"/>
      <c r="BX249" s="194"/>
      <c r="BY249" s="194"/>
      <c r="BZ249" s="194"/>
      <c r="CA249" s="194"/>
      <c r="CB249" s="194"/>
      <c r="CC249" s="47"/>
      <c r="CD249" s="47"/>
      <c r="CE249" s="47"/>
      <c r="CF249" s="47"/>
      <c r="CG249" s="47"/>
      <c r="CH249" s="47"/>
      <c r="CI249" s="47"/>
      <c r="CJ249" s="47"/>
      <c r="CK249" s="224"/>
      <c r="CL249" s="194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194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>
        <v>0.6</v>
      </c>
      <c r="DV249" s="47"/>
      <c r="DW249" s="198"/>
      <c r="DX249" s="47"/>
      <c r="DY249" s="194"/>
      <c r="DZ249" s="47"/>
      <c r="EA249" s="47"/>
      <c r="EB249" s="194"/>
      <c r="EC249" s="47"/>
      <c r="ED249" s="195"/>
      <c r="EE249" s="195"/>
      <c r="EF249" s="195"/>
      <c r="EG249" s="195"/>
      <c r="EH249" s="195">
        <v>37</v>
      </c>
      <c r="EI249" s="196">
        <f t="shared" si="12"/>
        <v>13.32</v>
      </c>
      <c r="EJ249" s="201">
        <f t="shared" si="13"/>
        <v>0.4572</v>
      </c>
      <c r="EK249" s="202">
        <f t="shared" ref="EK249:EK256" si="15">AVERAGE(I249:EC249)</f>
        <v>0.57499999999999996</v>
      </c>
      <c r="EL249" s="5"/>
      <c r="FA249" s="251">
        <f t="shared" si="14"/>
        <v>0.36</v>
      </c>
    </row>
    <row r="250" spans="1:157" s="1" customFormat="1" ht="20.149999999999999" customHeight="1" x14ac:dyDescent="0.35">
      <c r="A250" s="2"/>
      <c r="B250" s="189" t="s">
        <v>996</v>
      </c>
      <c r="C250" s="47" t="s">
        <v>204</v>
      </c>
      <c r="D250" s="2" t="s">
        <v>770</v>
      </c>
      <c r="E250" s="2" t="s">
        <v>545</v>
      </c>
      <c r="F250" s="48" t="s">
        <v>301</v>
      </c>
      <c r="G250" s="48" t="s">
        <v>37</v>
      </c>
      <c r="H250" s="57">
        <v>0.86</v>
      </c>
      <c r="I250" s="47"/>
      <c r="J250" s="47"/>
      <c r="K250" s="47"/>
      <c r="L250" s="47"/>
      <c r="M250" s="47"/>
      <c r="N250" s="194"/>
      <c r="O250" s="194"/>
      <c r="P250" s="194"/>
      <c r="Q250" s="194"/>
      <c r="R250" s="47"/>
      <c r="S250" s="194"/>
      <c r="T250" s="47"/>
      <c r="U250" s="194"/>
      <c r="V250" s="47"/>
      <c r="W250" s="194"/>
      <c r="X250" s="47"/>
      <c r="Y250" s="194"/>
      <c r="Z250" s="194"/>
      <c r="AA250" s="47"/>
      <c r="AB250" s="47"/>
      <c r="AC250" s="47"/>
      <c r="AD250" s="47"/>
      <c r="AE250" s="194"/>
      <c r="AF250" s="194"/>
      <c r="AG250" s="194"/>
      <c r="AH250" s="5"/>
      <c r="AI250" s="47"/>
      <c r="AJ250" s="223"/>
      <c r="AK250" s="47"/>
      <c r="AL250" s="47"/>
      <c r="AM250" s="47"/>
      <c r="AN250" s="47"/>
      <c r="AO250" s="47"/>
      <c r="AP250" s="194"/>
      <c r="AQ250" s="47"/>
      <c r="AR250" s="47"/>
      <c r="AS250" s="47"/>
      <c r="AT250" s="194"/>
      <c r="AU250" s="194"/>
      <c r="AV250" s="194"/>
      <c r="AW250" s="194"/>
      <c r="AX250" s="194"/>
      <c r="AY250" s="194"/>
      <c r="AZ250" s="194"/>
      <c r="BA250" s="194"/>
      <c r="BB250" s="194"/>
      <c r="BC250" s="194"/>
      <c r="BD250" s="194"/>
      <c r="BE250" s="194"/>
      <c r="BF250" s="194"/>
      <c r="BG250" s="194">
        <v>1.7</v>
      </c>
      <c r="BH250" s="194"/>
      <c r="BI250" s="194"/>
      <c r="BJ250" s="194"/>
      <c r="BK250" s="194"/>
      <c r="BL250" s="194"/>
      <c r="BM250" s="194"/>
      <c r="BN250" s="194"/>
      <c r="BO250" s="194"/>
      <c r="BP250" s="194"/>
      <c r="BQ250" s="47"/>
      <c r="BR250" s="194"/>
      <c r="BS250" s="47"/>
      <c r="BT250" s="47"/>
      <c r="BU250" s="47"/>
      <c r="BV250" s="47"/>
      <c r="BW250" s="47"/>
      <c r="BX250" s="194"/>
      <c r="BY250" s="194"/>
      <c r="BZ250" s="194"/>
      <c r="CA250" s="194"/>
      <c r="CB250" s="194"/>
      <c r="CC250" s="47"/>
      <c r="CD250" s="47"/>
      <c r="CE250" s="47"/>
      <c r="CF250" s="47"/>
      <c r="CG250" s="47"/>
      <c r="CH250" s="47"/>
      <c r="CI250" s="47"/>
      <c r="CJ250" s="47"/>
      <c r="CK250" s="224"/>
      <c r="CL250" s="194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194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198"/>
      <c r="DX250" s="47"/>
      <c r="DY250" s="194"/>
      <c r="DZ250" s="47"/>
      <c r="EA250" s="47"/>
      <c r="EB250" s="194"/>
      <c r="EC250" s="47"/>
      <c r="ED250" s="195"/>
      <c r="EE250" s="195">
        <v>1.1000000000000001</v>
      </c>
      <c r="EF250" s="195"/>
      <c r="EG250" s="195"/>
      <c r="EH250" s="195">
        <v>9</v>
      </c>
      <c r="EI250" s="196">
        <f t="shared" si="12"/>
        <v>7.74</v>
      </c>
      <c r="EJ250" s="201">
        <f t="shared" si="13"/>
        <v>1.0922000000000001</v>
      </c>
      <c r="EK250" s="202">
        <f t="shared" si="15"/>
        <v>1.7</v>
      </c>
      <c r="EL250" s="5"/>
      <c r="FA250" s="251">
        <f t="shared" si="14"/>
        <v>0.86</v>
      </c>
    </row>
    <row r="251" spans="1:157" s="1" customFormat="1" ht="20.149999999999999" customHeight="1" x14ac:dyDescent="0.35">
      <c r="A251" s="2"/>
      <c r="B251" s="189" t="s">
        <v>997</v>
      </c>
      <c r="C251" s="189" t="s">
        <v>578</v>
      </c>
      <c r="D251" s="2" t="s">
        <v>638</v>
      </c>
      <c r="E251" s="2" t="s">
        <v>33</v>
      </c>
      <c r="F251" s="47"/>
      <c r="G251" s="48" t="s">
        <v>34</v>
      </c>
      <c r="H251" s="57">
        <v>33.5</v>
      </c>
      <c r="I251" s="47"/>
      <c r="J251" s="47"/>
      <c r="K251" s="47"/>
      <c r="L251" s="47"/>
      <c r="M251" s="47"/>
      <c r="N251" s="194"/>
      <c r="O251" s="194"/>
      <c r="P251" s="194"/>
      <c r="Q251" s="194"/>
      <c r="R251" s="47"/>
      <c r="S251" s="194"/>
      <c r="T251" s="47"/>
      <c r="U251" s="194"/>
      <c r="V251" s="47"/>
      <c r="W251" s="194"/>
      <c r="X251" s="47"/>
      <c r="Y251" s="194"/>
      <c r="Z251" s="194"/>
      <c r="AA251" s="47"/>
      <c r="AB251" s="47"/>
      <c r="AC251" s="47"/>
      <c r="AD251" s="47"/>
      <c r="AE251" s="194"/>
      <c r="AF251" s="194"/>
      <c r="AG251" s="194"/>
      <c r="AH251" s="5"/>
      <c r="AI251" s="47"/>
      <c r="AJ251" s="198"/>
      <c r="AK251" s="47"/>
      <c r="AL251" s="47"/>
      <c r="AM251" s="47"/>
      <c r="AN251" s="47"/>
      <c r="AO251" s="47"/>
      <c r="AP251" s="194"/>
      <c r="AQ251" s="47"/>
      <c r="AR251" s="47"/>
      <c r="AS251" s="47"/>
      <c r="AT251" s="194"/>
      <c r="AU251" s="194"/>
      <c r="AV251" s="194"/>
      <c r="AW251" s="194"/>
      <c r="AX251" s="194"/>
      <c r="AY251" s="194"/>
      <c r="AZ251" s="194"/>
      <c r="BA251" s="194"/>
      <c r="BB251" s="194"/>
      <c r="BC251" s="194"/>
      <c r="BD251" s="194"/>
      <c r="BE251" s="194"/>
      <c r="BF251" s="194"/>
      <c r="BG251" s="194"/>
      <c r="BH251" s="194"/>
      <c r="BI251" s="194"/>
      <c r="BJ251" s="194"/>
      <c r="BK251" s="194"/>
      <c r="BL251" s="194"/>
      <c r="BM251" s="194"/>
      <c r="BN251" s="194"/>
      <c r="BO251" s="194">
        <v>42</v>
      </c>
      <c r="BP251" s="194"/>
      <c r="BQ251" s="47"/>
      <c r="BR251" s="194"/>
      <c r="BS251" s="47"/>
      <c r="BT251" s="47"/>
      <c r="BU251" s="47"/>
      <c r="BV251" s="47"/>
      <c r="BW251" s="47"/>
      <c r="BX251" s="194"/>
      <c r="BY251" s="194"/>
      <c r="BZ251" s="194"/>
      <c r="CA251" s="194"/>
      <c r="CB251" s="194"/>
      <c r="CC251" s="47"/>
      <c r="CD251" s="47"/>
      <c r="CE251" s="47"/>
      <c r="CF251" s="47"/>
      <c r="CG251" s="47"/>
      <c r="CH251" s="47"/>
      <c r="CI251" s="47"/>
      <c r="CJ251" s="47"/>
      <c r="CK251" s="47"/>
      <c r="CL251" s="194"/>
      <c r="CM251" s="47"/>
      <c r="CN251" s="47"/>
      <c r="CO251" s="47"/>
      <c r="CP251" s="47"/>
      <c r="CQ251" s="47"/>
      <c r="CR251" s="47"/>
      <c r="CS251" s="198"/>
      <c r="CT251" s="47"/>
      <c r="CU251" s="47"/>
      <c r="CV251" s="47"/>
      <c r="CW251" s="47"/>
      <c r="CX251" s="194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198"/>
      <c r="DX251" s="47"/>
      <c r="DY251" s="194"/>
      <c r="DZ251" s="47"/>
      <c r="EA251" s="47"/>
      <c r="EB251" s="194"/>
      <c r="EC251" s="47"/>
      <c r="ED251" s="195"/>
      <c r="EE251" s="195"/>
      <c r="EF251" s="195"/>
      <c r="EG251" s="195"/>
      <c r="EH251" s="195">
        <v>1</v>
      </c>
      <c r="EI251" s="196">
        <f t="shared" si="12"/>
        <v>33.5</v>
      </c>
      <c r="EJ251" s="201">
        <f t="shared" si="13"/>
        <v>42.545000000000002</v>
      </c>
      <c r="EK251" s="202">
        <f t="shared" si="15"/>
        <v>42</v>
      </c>
      <c r="EL251" s="5"/>
      <c r="FA251" s="251">
        <f t="shared" si="14"/>
        <v>33.5</v>
      </c>
    </row>
    <row r="252" spans="1:157" s="1" customFormat="1" ht="20.149999999999999" customHeight="1" x14ac:dyDescent="0.35">
      <c r="A252" s="47"/>
      <c r="B252" s="189" t="s">
        <v>998</v>
      </c>
      <c r="C252" s="47" t="s">
        <v>305</v>
      </c>
      <c r="D252" s="2" t="s">
        <v>638</v>
      </c>
      <c r="E252" s="2" t="s">
        <v>33</v>
      </c>
      <c r="F252" s="48"/>
      <c r="G252" s="48" t="s">
        <v>34</v>
      </c>
      <c r="H252" s="57">
        <v>33.5</v>
      </c>
      <c r="I252" s="47"/>
      <c r="J252" s="47"/>
      <c r="K252" s="47"/>
      <c r="L252" s="47"/>
      <c r="M252" s="47"/>
      <c r="N252" s="194"/>
      <c r="O252" s="194"/>
      <c r="P252" s="194"/>
      <c r="Q252" s="194"/>
      <c r="R252" s="47"/>
      <c r="S252" s="194"/>
      <c r="T252" s="47"/>
      <c r="U252" s="194"/>
      <c r="V252" s="47"/>
      <c r="W252" s="194"/>
      <c r="X252" s="47"/>
      <c r="Y252" s="194"/>
      <c r="Z252" s="194"/>
      <c r="AA252" s="47"/>
      <c r="AB252" s="47"/>
      <c r="AC252" s="47"/>
      <c r="AD252" s="47"/>
      <c r="AE252" s="194"/>
      <c r="AF252" s="194"/>
      <c r="AG252" s="194"/>
      <c r="AH252" s="5"/>
      <c r="AI252" s="47"/>
      <c r="AJ252" s="198"/>
      <c r="AK252" s="47"/>
      <c r="AL252" s="47"/>
      <c r="AM252" s="47"/>
      <c r="AN252" s="47"/>
      <c r="AO252" s="47"/>
      <c r="AP252" s="194"/>
      <c r="AQ252" s="47"/>
      <c r="AR252" s="47"/>
      <c r="AS252" s="47"/>
      <c r="AT252" s="194"/>
      <c r="AU252" s="194"/>
      <c r="AV252" s="194"/>
      <c r="AW252" s="194"/>
      <c r="AX252" s="194"/>
      <c r="AY252" s="194"/>
      <c r="AZ252" s="194"/>
      <c r="BA252" s="194"/>
      <c r="BB252" s="194"/>
      <c r="BC252" s="194"/>
      <c r="BD252" s="194"/>
      <c r="BE252" s="194"/>
      <c r="BF252" s="194"/>
      <c r="BG252" s="194"/>
      <c r="BH252" s="194"/>
      <c r="BI252" s="194"/>
      <c r="BJ252" s="194"/>
      <c r="BK252" s="194"/>
      <c r="BL252" s="194"/>
      <c r="BM252" s="194"/>
      <c r="BN252" s="194"/>
      <c r="BO252" s="194">
        <v>42</v>
      </c>
      <c r="BP252" s="194"/>
      <c r="BQ252" s="47"/>
      <c r="BR252" s="194"/>
      <c r="BS252" s="47"/>
      <c r="BT252" s="47"/>
      <c r="BU252" s="47"/>
      <c r="BV252" s="47"/>
      <c r="BW252" s="47"/>
      <c r="BX252" s="194"/>
      <c r="BY252" s="194"/>
      <c r="BZ252" s="194"/>
      <c r="CA252" s="194"/>
      <c r="CB252" s="194"/>
      <c r="CC252" s="47"/>
      <c r="CD252" s="47"/>
      <c r="CE252" s="47"/>
      <c r="CF252" s="47"/>
      <c r="CG252" s="47"/>
      <c r="CH252" s="47"/>
      <c r="CI252" s="47"/>
      <c r="CJ252" s="47"/>
      <c r="CK252" s="47"/>
      <c r="CL252" s="194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194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198"/>
      <c r="DX252" s="47"/>
      <c r="DY252" s="194"/>
      <c r="DZ252" s="47"/>
      <c r="EA252" s="47"/>
      <c r="EB252" s="194"/>
      <c r="EC252" s="47"/>
      <c r="ED252" s="195"/>
      <c r="EE252" s="195"/>
      <c r="EF252" s="195"/>
      <c r="EG252" s="195"/>
      <c r="EH252" s="195"/>
      <c r="EI252" s="196">
        <f t="shared" si="12"/>
        <v>0</v>
      </c>
      <c r="EJ252" s="201">
        <f t="shared" si="13"/>
        <v>42.545000000000002</v>
      </c>
      <c r="EK252" s="202">
        <f t="shared" si="15"/>
        <v>42</v>
      </c>
      <c r="EL252" s="5"/>
      <c r="FA252" s="251">
        <f t="shared" si="14"/>
        <v>33.5</v>
      </c>
    </row>
    <row r="253" spans="1:157" s="1" customFormat="1" ht="20.149999999999999" customHeight="1" x14ac:dyDescent="0.35">
      <c r="A253" s="2"/>
      <c r="B253" s="189" t="s">
        <v>999</v>
      </c>
      <c r="C253" s="47" t="s">
        <v>205</v>
      </c>
      <c r="D253" s="2" t="s">
        <v>637</v>
      </c>
      <c r="E253" s="2" t="s">
        <v>33</v>
      </c>
      <c r="F253" s="48" t="s">
        <v>44</v>
      </c>
      <c r="G253" s="48" t="s">
        <v>35</v>
      </c>
      <c r="H253" s="57">
        <v>6.25</v>
      </c>
      <c r="I253" s="47"/>
      <c r="J253" s="47"/>
      <c r="K253" s="47"/>
      <c r="L253" s="47"/>
      <c r="M253" s="47"/>
      <c r="N253" s="194"/>
      <c r="O253" s="194"/>
      <c r="P253" s="194"/>
      <c r="Q253" s="194"/>
      <c r="R253" s="47"/>
      <c r="S253" s="194"/>
      <c r="T253" s="47"/>
      <c r="U253" s="194"/>
      <c r="V253" s="47"/>
      <c r="W253" s="194"/>
      <c r="X253" s="47"/>
      <c r="Y253" s="194"/>
      <c r="Z253" s="194"/>
      <c r="AA253" s="47"/>
      <c r="AB253" s="47"/>
      <c r="AC253" s="47"/>
      <c r="AD253" s="47"/>
      <c r="AE253" s="194"/>
      <c r="AF253" s="194"/>
      <c r="AG253" s="194"/>
      <c r="AH253" s="5"/>
      <c r="AI253" s="47"/>
      <c r="AJ253" s="223"/>
      <c r="AK253" s="47"/>
      <c r="AL253" s="47"/>
      <c r="AM253" s="47"/>
      <c r="AN253" s="47"/>
      <c r="AO253" s="47"/>
      <c r="AP253" s="194"/>
      <c r="AQ253" s="47"/>
      <c r="AR253" s="47"/>
      <c r="AS253" s="47"/>
      <c r="AT253" s="194"/>
      <c r="AU253" s="194"/>
      <c r="AV253" s="194"/>
      <c r="AW253" s="194"/>
      <c r="AX253" s="194"/>
      <c r="AY253" s="194"/>
      <c r="AZ253" s="194"/>
      <c r="BA253" s="194"/>
      <c r="BB253" s="194"/>
      <c r="BC253" s="194"/>
      <c r="BD253" s="194"/>
      <c r="BE253" s="194"/>
      <c r="BF253" s="194"/>
      <c r="BG253" s="194"/>
      <c r="BH253" s="194"/>
      <c r="BI253" s="194"/>
      <c r="BJ253" s="194"/>
      <c r="BK253" s="194"/>
      <c r="BL253" s="194"/>
      <c r="BM253" s="194"/>
      <c r="BN253" s="194"/>
      <c r="BO253" s="194"/>
      <c r="BP253" s="194"/>
      <c r="BQ253" s="47"/>
      <c r="BR253" s="194"/>
      <c r="BS253" s="47"/>
      <c r="BT253" s="47"/>
      <c r="BU253" s="47"/>
      <c r="BV253" s="47"/>
      <c r="BW253" s="47"/>
      <c r="BX253" s="194"/>
      <c r="BY253" s="194"/>
      <c r="BZ253" s="194"/>
      <c r="CA253" s="194"/>
      <c r="CB253" s="194"/>
      <c r="CC253" s="47"/>
      <c r="CD253" s="47"/>
      <c r="CE253" s="47"/>
      <c r="CF253" s="47"/>
      <c r="CG253" s="47"/>
      <c r="CH253" s="47"/>
      <c r="CI253" s="47"/>
      <c r="CJ253" s="47"/>
      <c r="CK253" s="224"/>
      <c r="CL253" s="194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>
        <v>8</v>
      </c>
      <c r="CW253" s="47"/>
      <c r="CX253" s="194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198"/>
      <c r="DX253" s="47"/>
      <c r="DY253" s="194"/>
      <c r="DZ253" s="47"/>
      <c r="EA253" s="47"/>
      <c r="EB253" s="194"/>
      <c r="EC253" s="47"/>
      <c r="ED253" s="195"/>
      <c r="EE253" s="195"/>
      <c r="EF253" s="195"/>
      <c r="EG253" s="195"/>
      <c r="EH253" s="195"/>
      <c r="EI253" s="196">
        <f t="shared" si="12"/>
        <v>0</v>
      </c>
      <c r="EJ253" s="201">
        <f t="shared" si="13"/>
        <v>7.9375</v>
      </c>
      <c r="EK253" s="202">
        <f t="shared" si="15"/>
        <v>8</v>
      </c>
      <c r="EL253" s="5"/>
      <c r="FA253" s="251">
        <f t="shared" si="14"/>
        <v>6.25</v>
      </c>
    </row>
    <row r="254" spans="1:157" s="1" customFormat="1" ht="20.149999999999999" customHeight="1" x14ac:dyDescent="0.35">
      <c r="A254" s="2"/>
      <c r="B254" s="189" t="s">
        <v>1001</v>
      </c>
      <c r="C254" s="47" t="s">
        <v>296</v>
      </c>
      <c r="D254" s="48" t="s">
        <v>637</v>
      </c>
      <c r="E254" s="2" t="s">
        <v>33</v>
      </c>
      <c r="F254" s="48" t="s">
        <v>31</v>
      </c>
      <c r="G254" s="48" t="s">
        <v>37</v>
      </c>
      <c r="H254" s="328">
        <f>218/15</f>
        <v>14.533333333333333</v>
      </c>
      <c r="I254" s="47"/>
      <c r="J254" s="47"/>
      <c r="K254" s="47"/>
      <c r="L254" s="47"/>
      <c r="M254" s="47"/>
      <c r="N254" s="194"/>
      <c r="O254" s="194"/>
      <c r="P254" s="194"/>
      <c r="Q254" s="194"/>
      <c r="R254" s="194">
        <v>23</v>
      </c>
      <c r="S254" s="194"/>
      <c r="T254" s="47"/>
      <c r="U254" s="194"/>
      <c r="V254" s="47"/>
      <c r="W254" s="194"/>
      <c r="X254" s="47"/>
      <c r="Y254" s="194"/>
      <c r="Z254" s="194"/>
      <c r="AA254" s="47"/>
      <c r="AB254" s="47"/>
      <c r="AC254" s="47"/>
      <c r="AD254" s="47"/>
      <c r="AE254" s="194"/>
      <c r="AF254" s="194"/>
      <c r="AG254" s="194"/>
      <c r="AH254" s="5"/>
      <c r="AI254" s="47"/>
      <c r="AJ254" s="223"/>
      <c r="AK254" s="47"/>
      <c r="AL254" s="47"/>
      <c r="AM254" s="47"/>
      <c r="AN254" s="47"/>
      <c r="AO254" s="47"/>
      <c r="AP254" s="194"/>
      <c r="AQ254" s="47"/>
      <c r="AR254" s="47"/>
      <c r="AS254" s="47"/>
      <c r="AT254" s="194"/>
      <c r="AU254" s="194"/>
      <c r="AV254" s="194"/>
      <c r="AW254" s="194"/>
      <c r="AX254" s="194"/>
      <c r="AY254" s="194"/>
      <c r="AZ254" s="194"/>
      <c r="BA254" s="194"/>
      <c r="BB254" s="194"/>
      <c r="BC254" s="194"/>
      <c r="BD254" s="194"/>
      <c r="BE254" s="194"/>
      <c r="BF254" s="194"/>
      <c r="BG254" s="194"/>
      <c r="BH254" s="194"/>
      <c r="BI254" s="194"/>
      <c r="BJ254" s="194"/>
      <c r="BK254" s="194"/>
      <c r="BL254" s="194"/>
      <c r="BM254" s="194"/>
      <c r="BN254" s="194"/>
      <c r="BO254" s="194"/>
      <c r="BP254" s="194"/>
      <c r="BQ254" s="47"/>
      <c r="BR254" s="194"/>
      <c r="BS254" s="47"/>
      <c r="BT254" s="47"/>
      <c r="BU254" s="47"/>
      <c r="BV254" s="47"/>
      <c r="BW254" s="47"/>
      <c r="BX254" s="194"/>
      <c r="BY254" s="194"/>
      <c r="BZ254" s="194"/>
      <c r="CA254" s="194"/>
      <c r="CB254" s="194"/>
      <c r="CC254" s="47"/>
      <c r="CD254" s="47"/>
      <c r="CE254" s="47"/>
      <c r="CF254" s="47"/>
      <c r="CG254" s="47"/>
      <c r="CH254" s="47"/>
      <c r="CI254" s="47">
        <v>22</v>
      </c>
      <c r="CJ254" s="47"/>
      <c r="CK254" s="224"/>
      <c r="CL254" s="194"/>
      <c r="CM254" s="47"/>
      <c r="CN254" s="47"/>
      <c r="CO254" s="47"/>
      <c r="CP254" s="47"/>
      <c r="CQ254" s="47"/>
      <c r="CR254" s="47"/>
      <c r="CS254" s="47">
        <v>22</v>
      </c>
      <c r="CT254" s="47"/>
      <c r="CU254" s="47"/>
      <c r="CV254" s="47"/>
      <c r="CW254" s="47"/>
      <c r="CX254" s="194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>
        <v>22</v>
      </c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198"/>
      <c r="DX254" s="47"/>
      <c r="DY254" s="194"/>
      <c r="DZ254" s="47"/>
      <c r="EA254" s="47"/>
      <c r="EB254" s="194"/>
      <c r="EC254" s="47"/>
      <c r="ED254" s="195"/>
      <c r="EE254" s="195"/>
      <c r="EF254" s="195"/>
      <c r="EG254" s="195"/>
      <c r="EH254" s="195">
        <v>7</v>
      </c>
      <c r="EI254" s="196">
        <f t="shared" si="12"/>
        <v>101.73333333333333</v>
      </c>
      <c r="EJ254" s="201">
        <f t="shared" si="13"/>
        <v>18.457333333333334</v>
      </c>
      <c r="EK254" s="202">
        <f t="shared" si="15"/>
        <v>22.25</v>
      </c>
      <c r="EL254" s="5"/>
      <c r="FA254" s="251">
        <f t="shared" si="14"/>
        <v>14.533333333333333</v>
      </c>
    </row>
    <row r="255" spans="1:157" s="1" customFormat="1" ht="20.149999999999999" customHeight="1" x14ac:dyDescent="0.35">
      <c r="A255" s="47"/>
      <c r="B255" s="189" t="s">
        <v>1002</v>
      </c>
      <c r="C255" s="47" t="s">
        <v>207</v>
      </c>
      <c r="D255" s="2"/>
      <c r="E255" s="2" t="s">
        <v>33</v>
      </c>
      <c r="F255" s="48" t="s">
        <v>51</v>
      </c>
      <c r="G255" s="48" t="s">
        <v>35</v>
      </c>
      <c r="H255" s="57">
        <v>8.3000000000000007</v>
      </c>
      <c r="I255" s="47"/>
      <c r="J255" s="47"/>
      <c r="K255" s="47"/>
      <c r="L255" s="47"/>
      <c r="M255" s="47"/>
      <c r="N255" s="194"/>
      <c r="O255" s="194"/>
      <c r="P255" s="194"/>
      <c r="Q255" s="194"/>
      <c r="R255" s="47"/>
      <c r="S255" s="194"/>
      <c r="T255" s="47"/>
      <c r="U255" s="194"/>
      <c r="V255" s="47"/>
      <c r="W255" s="194"/>
      <c r="X255" s="47"/>
      <c r="Y255" s="194"/>
      <c r="Z255" s="194"/>
      <c r="AA255" s="47"/>
      <c r="AB255" s="47"/>
      <c r="AC255" s="47"/>
      <c r="AD255" s="47"/>
      <c r="AE255" s="194"/>
      <c r="AF255" s="194"/>
      <c r="AG255" s="194"/>
      <c r="AH255" s="5"/>
      <c r="AI255" s="47"/>
      <c r="AJ255" s="198"/>
      <c r="AK255" s="47"/>
      <c r="AL255" s="47"/>
      <c r="AM255" s="47"/>
      <c r="AN255" s="47"/>
      <c r="AO255" s="47"/>
      <c r="AP255" s="194"/>
      <c r="AQ255" s="47"/>
      <c r="AR255" s="47"/>
      <c r="AS255" s="47"/>
      <c r="AT255" s="194"/>
      <c r="AU255" s="194"/>
      <c r="AV255" s="194"/>
      <c r="AW255" s="194"/>
      <c r="AX255" s="194"/>
      <c r="AY255" s="194"/>
      <c r="AZ255" s="194"/>
      <c r="BA255" s="194"/>
      <c r="BB255" s="194"/>
      <c r="BC255" s="194"/>
      <c r="BD255" s="194"/>
      <c r="BE255" s="194"/>
      <c r="BF255" s="194"/>
      <c r="BG255" s="194"/>
      <c r="BH255" s="194"/>
      <c r="BI255" s="194"/>
      <c r="BJ255" s="194"/>
      <c r="BK255" s="194"/>
      <c r="BL255" s="194"/>
      <c r="BM255" s="194">
        <v>9.5</v>
      </c>
      <c r="BN255" s="194"/>
      <c r="BO255" s="194"/>
      <c r="BP255" s="194"/>
      <c r="BQ255" s="47"/>
      <c r="BR255" s="194"/>
      <c r="BS255" s="47"/>
      <c r="BT255" s="47"/>
      <c r="BU255" s="47"/>
      <c r="BV255" s="47"/>
      <c r="BW255" s="47"/>
      <c r="BX255" s="194"/>
      <c r="BY255" s="194"/>
      <c r="BZ255" s="194"/>
      <c r="CA255" s="194"/>
      <c r="CB255" s="194"/>
      <c r="CC255" s="47"/>
      <c r="CD255" s="47"/>
      <c r="CE255" s="47"/>
      <c r="CF255" s="47"/>
      <c r="CG255" s="47"/>
      <c r="CH255" s="47"/>
      <c r="CI255" s="47"/>
      <c r="CJ255" s="47"/>
      <c r="CK255" s="47"/>
      <c r="CL255" s="194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>
        <v>10</v>
      </c>
      <c r="CW255" s="47"/>
      <c r="CX255" s="194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198"/>
      <c r="DX255" s="47"/>
      <c r="DY255" s="194"/>
      <c r="DZ255" s="47"/>
      <c r="EA255" s="47"/>
      <c r="EB255" s="194"/>
      <c r="EC255" s="47"/>
      <c r="ED255" s="195"/>
      <c r="EE255" s="195"/>
      <c r="EF255" s="195"/>
      <c r="EG255" s="195"/>
      <c r="EH255" s="195">
        <v>1</v>
      </c>
      <c r="EI255" s="196">
        <f t="shared" si="12"/>
        <v>8.3000000000000007</v>
      </c>
      <c r="EJ255" s="201">
        <f t="shared" si="13"/>
        <v>10.541</v>
      </c>
      <c r="EK255" s="202">
        <f t="shared" si="15"/>
        <v>9.75</v>
      </c>
      <c r="EL255" s="5"/>
      <c r="FA255" s="251">
        <f t="shared" si="14"/>
        <v>8.3000000000000007</v>
      </c>
    </row>
    <row r="256" spans="1:157" s="1" customFormat="1" ht="20.149999999999999" customHeight="1" x14ac:dyDescent="0.35">
      <c r="A256" s="47"/>
      <c r="B256" s="189" t="s">
        <v>1003</v>
      </c>
      <c r="C256" s="47" t="s">
        <v>208</v>
      </c>
      <c r="D256" s="2"/>
      <c r="E256" s="2" t="s">
        <v>33</v>
      </c>
      <c r="F256" s="48" t="s">
        <v>51</v>
      </c>
      <c r="G256" s="48" t="s">
        <v>35</v>
      </c>
      <c r="H256" s="57">
        <v>8</v>
      </c>
      <c r="I256" s="47"/>
      <c r="J256" s="47"/>
      <c r="K256" s="47"/>
      <c r="L256" s="47"/>
      <c r="M256" s="47"/>
      <c r="N256" s="194"/>
      <c r="O256" s="194"/>
      <c r="P256" s="194"/>
      <c r="Q256" s="194"/>
      <c r="R256" s="47"/>
      <c r="S256" s="194"/>
      <c r="T256" s="47"/>
      <c r="U256" s="194"/>
      <c r="V256" s="47"/>
      <c r="W256" s="194"/>
      <c r="X256" s="47"/>
      <c r="Y256" s="194"/>
      <c r="Z256" s="194"/>
      <c r="AA256" s="47"/>
      <c r="AB256" s="47"/>
      <c r="AC256" s="47"/>
      <c r="AD256" s="47"/>
      <c r="AE256" s="194"/>
      <c r="AF256" s="194"/>
      <c r="AG256" s="194"/>
      <c r="AH256" s="5"/>
      <c r="AI256" s="47"/>
      <c r="AJ256" s="198"/>
      <c r="AK256" s="47"/>
      <c r="AL256" s="47"/>
      <c r="AM256" s="47"/>
      <c r="AN256" s="47"/>
      <c r="AO256" s="47"/>
      <c r="AP256" s="194"/>
      <c r="AQ256" s="47"/>
      <c r="AR256" s="47"/>
      <c r="AS256" s="47"/>
      <c r="AT256" s="194"/>
      <c r="AU256" s="194"/>
      <c r="AV256" s="194"/>
      <c r="AW256" s="194"/>
      <c r="AX256" s="194"/>
      <c r="AY256" s="194"/>
      <c r="AZ256" s="194"/>
      <c r="BA256" s="194"/>
      <c r="BB256" s="194"/>
      <c r="BC256" s="194"/>
      <c r="BD256" s="194"/>
      <c r="BE256" s="194"/>
      <c r="BF256" s="194"/>
      <c r="BG256" s="194"/>
      <c r="BH256" s="194"/>
      <c r="BI256" s="194"/>
      <c r="BJ256" s="194"/>
      <c r="BK256" s="194"/>
      <c r="BL256" s="194"/>
      <c r="BM256" s="194"/>
      <c r="BN256" s="194"/>
      <c r="BO256" s="194"/>
      <c r="BP256" s="194"/>
      <c r="BQ256" s="47"/>
      <c r="BR256" s="194"/>
      <c r="BS256" s="47"/>
      <c r="BT256" s="47"/>
      <c r="BU256" s="47"/>
      <c r="BV256" s="47"/>
      <c r="BW256" s="47"/>
      <c r="BX256" s="194"/>
      <c r="BY256" s="194"/>
      <c r="BZ256" s="194"/>
      <c r="CA256" s="194"/>
      <c r="CB256" s="194"/>
      <c r="CC256" s="47"/>
      <c r="CD256" s="47"/>
      <c r="CE256" s="47"/>
      <c r="CF256" s="47"/>
      <c r="CG256" s="47"/>
      <c r="CH256" s="47"/>
      <c r="CI256" s="47"/>
      <c r="CJ256" s="47"/>
      <c r="CK256" s="47"/>
      <c r="CL256" s="194">
        <v>9.5</v>
      </c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194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198"/>
      <c r="DX256" s="47"/>
      <c r="DY256" s="194"/>
      <c r="DZ256" s="47"/>
      <c r="EA256" s="47"/>
      <c r="EB256" s="194"/>
      <c r="EC256" s="47"/>
      <c r="ED256" s="195"/>
      <c r="EE256" s="195"/>
      <c r="EF256" s="195"/>
      <c r="EG256" s="195"/>
      <c r="EH256" s="195">
        <v>1</v>
      </c>
      <c r="EI256" s="196">
        <f t="shared" si="12"/>
        <v>8</v>
      </c>
      <c r="EJ256" s="201">
        <f t="shared" si="13"/>
        <v>10.16</v>
      </c>
      <c r="EK256" s="202">
        <f t="shared" si="15"/>
        <v>9.5</v>
      </c>
      <c r="EL256" s="5"/>
      <c r="FA256" s="251">
        <f t="shared" si="14"/>
        <v>8</v>
      </c>
    </row>
    <row r="257" spans="1:157" s="1" customFormat="1" ht="20.149999999999999" customHeight="1" x14ac:dyDescent="0.45">
      <c r="A257" s="47"/>
      <c r="B257" s="189" t="s">
        <v>1004</v>
      </c>
      <c r="C257" s="47" t="s">
        <v>774</v>
      </c>
      <c r="D257" s="185"/>
      <c r="E257" s="185"/>
      <c r="F257" s="48" t="s">
        <v>51</v>
      </c>
      <c r="G257" s="48" t="s">
        <v>35</v>
      </c>
      <c r="H257" s="331">
        <v>10.5</v>
      </c>
      <c r="I257" s="47"/>
      <c r="J257" s="47"/>
      <c r="K257" s="47"/>
      <c r="L257" s="47"/>
      <c r="M257" s="47"/>
      <c r="N257" s="194"/>
      <c r="O257" s="194"/>
      <c r="P257" s="194"/>
      <c r="Q257" s="194"/>
      <c r="R257" s="47"/>
      <c r="S257" s="194"/>
      <c r="T257" s="47"/>
      <c r="U257" s="194"/>
      <c r="V257" s="47"/>
      <c r="W257" s="194"/>
      <c r="X257" s="47"/>
      <c r="Y257" s="194"/>
      <c r="Z257" s="194"/>
      <c r="AA257" s="47"/>
      <c r="AB257" s="47"/>
      <c r="AC257" s="47"/>
      <c r="AD257" s="47"/>
      <c r="AE257" s="194"/>
      <c r="AF257" s="194"/>
      <c r="AG257" s="194"/>
      <c r="AH257" s="5"/>
      <c r="AI257" s="47"/>
      <c r="AJ257" s="223"/>
      <c r="AK257" s="47"/>
      <c r="AL257" s="47"/>
      <c r="AM257" s="47"/>
      <c r="AN257" s="47"/>
      <c r="AO257" s="47"/>
      <c r="AP257" s="194"/>
      <c r="AQ257" s="47"/>
      <c r="AR257" s="47"/>
      <c r="AS257" s="47"/>
      <c r="AT257" s="194"/>
      <c r="AU257" s="194"/>
      <c r="AV257" s="194"/>
      <c r="AW257" s="194"/>
      <c r="AX257" s="194"/>
      <c r="AY257" s="194"/>
      <c r="AZ257" s="194"/>
      <c r="BA257" s="194"/>
      <c r="BB257" s="194"/>
      <c r="BC257" s="194"/>
      <c r="BD257" s="194"/>
      <c r="BE257" s="194"/>
      <c r="BF257" s="194"/>
      <c r="BG257" s="194"/>
      <c r="BH257" s="194"/>
      <c r="BI257" s="194"/>
      <c r="BJ257" s="194"/>
      <c r="BK257" s="194"/>
      <c r="BL257" s="194"/>
      <c r="BM257" s="194"/>
      <c r="BN257" s="194"/>
      <c r="BO257" s="194"/>
      <c r="BP257" s="194"/>
      <c r="BQ257" s="47"/>
      <c r="BR257" s="194"/>
      <c r="BS257" s="47"/>
      <c r="BT257" s="47"/>
      <c r="BU257" s="47"/>
      <c r="BV257" s="47"/>
      <c r="BW257" s="47"/>
      <c r="BX257" s="194"/>
      <c r="BY257" s="194"/>
      <c r="BZ257" s="194"/>
      <c r="CA257" s="194"/>
      <c r="CB257" s="194"/>
      <c r="CC257" s="47"/>
      <c r="CD257" s="47"/>
      <c r="CE257" s="47"/>
      <c r="CF257" s="47"/>
      <c r="CG257" s="47"/>
      <c r="CH257" s="47"/>
      <c r="CI257" s="47"/>
      <c r="CJ257" s="47"/>
      <c r="CK257" s="224"/>
      <c r="CL257" s="194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194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198"/>
      <c r="DX257" s="47"/>
      <c r="DY257" s="194"/>
      <c r="DZ257" s="47"/>
      <c r="EA257" s="47"/>
      <c r="EB257" s="194"/>
      <c r="EC257" s="47"/>
      <c r="ED257" s="195"/>
      <c r="EE257" s="195"/>
      <c r="EF257" s="195"/>
      <c r="EG257" s="195"/>
      <c r="EH257" s="195"/>
      <c r="EI257" s="196">
        <f t="shared" si="12"/>
        <v>0</v>
      </c>
      <c r="EJ257" s="201">
        <f t="shared" si="13"/>
        <v>13.335000000000001</v>
      </c>
      <c r="EK257" s="202">
        <v>0</v>
      </c>
      <c r="EL257" s="5"/>
      <c r="FA257" s="251">
        <f t="shared" si="14"/>
        <v>10.5</v>
      </c>
    </row>
    <row r="258" spans="1:157" s="1" customFormat="1" ht="20.149999999999999" customHeight="1" x14ac:dyDescent="0.45">
      <c r="A258" s="47"/>
      <c r="B258" s="189" t="s">
        <v>1005</v>
      </c>
      <c r="C258" s="47" t="s">
        <v>776</v>
      </c>
      <c r="D258" s="185"/>
      <c r="E258" s="185"/>
      <c r="F258" s="48" t="s">
        <v>51</v>
      </c>
      <c r="G258" s="48" t="s">
        <v>35</v>
      </c>
      <c r="H258" s="57"/>
      <c r="I258" s="47"/>
      <c r="J258" s="47"/>
      <c r="K258" s="47"/>
      <c r="L258" s="47"/>
      <c r="M258" s="47"/>
      <c r="N258" s="194"/>
      <c r="O258" s="194"/>
      <c r="P258" s="194"/>
      <c r="Q258" s="194"/>
      <c r="R258" s="47"/>
      <c r="S258" s="194"/>
      <c r="T258" s="47"/>
      <c r="U258" s="194"/>
      <c r="V258" s="47"/>
      <c r="W258" s="194"/>
      <c r="X258" s="47"/>
      <c r="Y258" s="194"/>
      <c r="Z258" s="194"/>
      <c r="AA258" s="47"/>
      <c r="AB258" s="47"/>
      <c r="AC258" s="47"/>
      <c r="AD258" s="47"/>
      <c r="AE258" s="194"/>
      <c r="AF258" s="194"/>
      <c r="AG258" s="194"/>
      <c r="AH258" s="5"/>
      <c r="AI258" s="47"/>
      <c r="AJ258" s="223"/>
      <c r="AK258" s="47"/>
      <c r="AL258" s="47"/>
      <c r="AM258" s="47"/>
      <c r="AN258" s="47"/>
      <c r="AO258" s="47"/>
      <c r="AP258" s="194"/>
      <c r="AQ258" s="47"/>
      <c r="AR258" s="47"/>
      <c r="AS258" s="47"/>
      <c r="AT258" s="194"/>
      <c r="AU258" s="194"/>
      <c r="AV258" s="194"/>
      <c r="AW258" s="194"/>
      <c r="AX258" s="194"/>
      <c r="AY258" s="194"/>
      <c r="AZ258" s="194"/>
      <c r="BA258" s="194"/>
      <c r="BB258" s="194"/>
      <c r="BC258" s="194"/>
      <c r="BD258" s="194"/>
      <c r="BE258" s="194"/>
      <c r="BF258" s="194"/>
      <c r="BG258" s="194"/>
      <c r="BH258" s="194"/>
      <c r="BI258" s="194"/>
      <c r="BJ258" s="194"/>
      <c r="BK258" s="194"/>
      <c r="BL258" s="194"/>
      <c r="BM258" s="194"/>
      <c r="BN258" s="194"/>
      <c r="BO258" s="194"/>
      <c r="BP258" s="194"/>
      <c r="BQ258" s="47"/>
      <c r="BR258" s="194"/>
      <c r="BS258" s="47"/>
      <c r="BT258" s="47"/>
      <c r="BU258" s="47"/>
      <c r="BV258" s="47"/>
      <c r="BW258" s="47"/>
      <c r="BX258" s="194"/>
      <c r="BY258" s="194"/>
      <c r="BZ258" s="194"/>
      <c r="CA258" s="194"/>
      <c r="CB258" s="194"/>
      <c r="CC258" s="47"/>
      <c r="CD258" s="47"/>
      <c r="CE258" s="47"/>
      <c r="CF258" s="47"/>
      <c r="CG258" s="47"/>
      <c r="CH258" s="47"/>
      <c r="CI258" s="47"/>
      <c r="CJ258" s="47"/>
      <c r="CK258" s="224"/>
      <c r="CL258" s="194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194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198"/>
      <c r="DX258" s="47"/>
      <c r="DY258" s="194"/>
      <c r="DZ258" s="47"/>
      <c r="EA258" s="47"/>
      <c r="EB258" s="194"/>
      <c r="EC258" s="47"/>
      <c r="ED258" s="195"/>
      <c r="EE258" s="195"/>
      <c r="EF258" s="195"/>
      <c r="EG258" s="195"/>
      <c r="EH258" s="195"/>
      <c r="EI258" s="196">
        <f t="shared" si="12"/>
        <v>0</v>
      </c>
      <c r="EJ258" s="201">
        <f t="shared" si="13"/>
        <v>0</v>
      </c>
      <c r="EK258" s="202">
        <v>0</v>
      </c>
      <c r="EL258" s="5"/>
      <c r="FA258" s="251">
        <f t="shared" si="14"/>
        <v>0</v>
      </c>
    </row>
    <row r="259" spans="1:157" s="1" customFormat="1" ht="20.149999999999999" customHeight="1" x14ac:dyDescent="0.45">
      <c r="A259" s="47"/>
      <c r="B259" s="189" t="s">
        <v>1006</v>
      </c>
      <c r="C259" s="47" t="s">
        <v>777</v>
      </c>
      <c r="D259" s="185"/>
      <c r="E259" s="185"/>
      <c r="F259" s="48" t="s">
        <v>51</v>
      </c>
      <c r="G259" s="48" t="s">
        <v>35</v>
      </c>
      <c r="H259" s="57"/>
      <c r="I259" s="47"/>
      <c r="J259" s="47"/>
      <c r="K259" s="47"/>
      <c r="L259" s="47"/>
      <c r="M259" s="47"/>
      <c r="N259" s="194"/>
      <c r="O259" s="194"/>
      <c r="P259" s="194"/>
      <c r="Q259" s="194"/>
      <c r="R259" s="47"/>
      <c r="S259" s="194"/>
      <c r="T259" s="47"/>
      <c r="U259" s="194"/>
      <c r="V259" s="47"/>
      <c r="W259" s="194"/>
      <c r="X259" s="47"/>
      <c r="Y259" s="194"/>
      <c r="Z259" s="194"/>
      <c r="AA259" s="47"/>
      <c r="AB259" s="47"/>
      <c r="AC259" s="47"/>
      <c r="AD259" s="47"/>
      <c r="AE259" s="194"/>
      <c r="AF259" s="194"/>
      <c r="AG259" s="194"/>
      <c r="AH259" s="5"/>
      <c r="AI259" s="47"/>
      <c r="AJ259" s="223"/>
      <c r="AK259" s="47"/>
      <c r="AL259" s="47"/>
      <c r="AM259" s="47"/>
      <c r="AN259" s="47"/>
      <c r="AO259" s="47"/>
      <c r="AP259" s="194"/>
      <c r="AQ259" s="47"/>
      <c r="AR259" s="47"/>
      <c r="AS259" s="47"/>
      <c r="AT259" s="194"/>
      <c r="AU259" s="194"/>
      <c r="AV259" s="194"/>
      <c r="AW259" s="194"/>
      <c r="AX259" s="194"/>
      <c r="AY259" s="194"/>
      <c r="AZ259" s="194"/>
      <c r="BA259" s="194"/>
      <c r="BB259" s="194"/>
      <c r="BC259" s="194"/>
      <c r="BD259" s="194"/>
      <c r="BE259" s="194"/>
      <c r="BF259" s="194"/>
      <c r="BG259" s="194"/>
      <c r="BH259" s="194"/>
      <c r="BI259" s="194"/>
      <c r="BJ259" s="194"/>
      <c r="BK259" s="194"/>
      <c r="BL259" s="194"/>
      <c r="BM259" s="194"/>
      <c r="BN259" s="194"/>
      <c r="BO259" s="194"/>
      <c r="BP259" s="194"/>
      <c r="BQ259" s="47"/>
      <c r="BR259" s="194"/>
      <c r="BS259" s="47"/>
      <c r="BT259" s="47"/>
      <c r="BU259" s="47"/>
      <c r="BV259" s="47"/>
      <c r="BW259" s="47"/>
      <c r="BX259" s="194"/>
      <c r="BY259" s="194"/>
      <c r="BZ259" s="194"/>
      <c r="CA259" s="194"/>
      <c r="CB259" s="194"/>
      <c r="CC259" s="47"/>
      <c r="CD259" s="47"/>
      <c r="CE259" s="47"/>
      <c r="CF259" s="47"/>
      <c r="CG259" s="47"/>
      <c r="CH259" s="47"/>
      <c r="CI259" s="47"/>
      <c r="CJ259" s="47"/>
      <c r="CK259" s="224"/>
      <c r="CL259" s="194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194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198"/>
      <c r="DX259" s="47"/>
      <c r="DY259" s="194"/>
      <c r="DZ259" s="47"/>
      <c r="EA259" s="47"/>
      <c r="EB259" s="194"/>
      <c r="EC259" s="47"/>
      <c r="ED259" s="195"/>
      <c r="EE259" s="195"/>
      <c r="EF259" s="195"/>
      <c r="EG259" s="195"/>
      <c r="EH259" s="195"/>
      <c r="EI259" s="196">
        <f t="shared" si="12"/>
        <v>0</v>
      </c>
      <c r="EJ259" s="201">
        <f t="shared" si="13"/>
        <v>0</v>
      </c>
      <c r="EK259" s="202">
        <v>0</v>
      </c>
      <c r="EL259" s="5"/>
      <c r="FA259" s="251">
        <f t="shared" si="14"/>
        <v>0</v>
      </c>
    </row>
    <row r="260" spans="1:157" s="1" customFormat="1" ht="20.149999999999999" customHeight="1" x14ac:dyDescent="0.45">
      <c r="A260" s="47"/>
      <c r="B260" s="189" t="s">
        <v>1007</v>
      </c>
      <c r="C260" s="47" t="s">
        <v>778</v>
      </c>
      <c r="D260" s="185"/>
      <c r="E260" s="185"/>
      <c r="F260" s="48" t="s">
        <v>51</v>
      </c>
      <c r="G260" s="48" t="s">
        <v>35</v>
      </c>
      <c r="H260" s="57"/>
      <c r="I260" s="47"/>
      <c r="J260" s="47"/>
      <c r="K260" s="47"/>
      <c r="L260" s="47"/>
      <c r="M260" s="47"/>
      <c r="N260" s="194"/>
      <c r="O260" s="194"/>
      <c r="P260" s="194"/>
      <c r="Q260" s="194"/>
      <c r="R260" s="47"/>
      <c r="S260" s="194"/>
      <c r="T260" s="47"/>
      <c r="U260" s="194"/>
      <c r="V260" s="47"/>
      <c r="W260" s="194"/>
      <c r="X260" s="47"/>
      <c r="Y260" s="194"/>
      <c r="Z260" s="194"/>
      <c r="AA260" s="47"/>
      <c r="AB260" s="47"/>
      <c r="AC260" s="47"/>
      <c r="AD260" s="47"/>
      <c r="AE260" s="194"/>
      <c r="AF260" s="194"/>
      <c r="AG260" s="194"/>
      <c r="AH260" s="5"/>
      <c r="AI260" s="47"/>
      <c r="AJ260" s="223"/>
      <c r="AK260" s="47"/>
      <c r="AL260" s="47"/>
      <c r="AM260" s="47"/>
      <c r="AN260" s="47"/>
      <c r="AO260" s="47"/>
      <c r="AP260" s="194"/>
      <c r="AQ260" s="47"/>
      <c r="AR260" s="47"/>
      <c r="AS260" s="47"/>
      <c r="AT260" s="194"/>
      <c r="AU260" s="194"/>
      <c r="AV260" s="194"/>
      <c r="AW260" s="194"/>
      <c r="AX260" s="194"/>
      <c r="AY260" s="194"/>
      <c r="AZ260" s="194"/>
      <c r="BA260" s="194"/>
      <c r="BB260" s="194"/>
      <c r="BC260" s="194"/>
      <c r="BD260" s="194"/>
      <c r="BE260" s="194"/>
      <c r="BF260" s="194"/>
      <c r="BG260" s="194"/>
      <c r="BH260" s="194"/>
      <c r="BI260" s="194"/>
      <c r="BJ260" s="194"/>
      <c r="BK260" s="194"/>
      <c r="BL260" s="194"/>
      <c r="BM260" s="194"/>
      <c r="BN260" s="194"/>
      <c r="BO260" s="194"/>
      <c r="BP260" s="194"/>
      <c r="BQ260" s="47"/>
      <c r="BR260" s="194"/>
      <c r="BS260" s="47"/>
      <c r="BT260" s="47"/>
      <c r="BU260" s="47"/>
      <c r="BV260" s="47"/>
      <c r="BW260" s="47"/>
      <c r="BX260" s="194"/>
      <c r="BY260" s="194"/>
      <c r="BZ260" s="194"/>
      <c r="CA260" s="194"/>
      <c r="CB260" s="194"/>
      <c r="CC260" s="47"/>
      <c r="CD260" s="47"/>
      <c r="CE260" s="47"/>
      <c r="CF260" s="47"/>
      <c r="CG260" s="47"/>
      <c r="CH260" s="47"/>
      <c r="CI260" s="47"/>
      <c r="CJ260" s="47"/>
      <c r="CK260" s="224"/>
      <c r="CL260" s="194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194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198"/>
      <c r="DX260" s="47"/>
      <c r="DY260" s="194"/>
      <c r="DZ260" s="47"/>
      <c r="EA260" s="47"/>
      <c r="EB260" s="194"/>
      <c r="EC260" s="47"/>
      <c r="ED260" s="195"/>
      <c r="EE260" s="195"/>
      <c r="EF260" s="195"/>
      <c r="EG260" s="195"/>
      <c r="EH260" s="195"/>
      <c r="EI260" s="196">
        <f t="shared" si="12"/>
        <v>0</v>
      </c>
      <c r="EJ260" s="201">
        <f t="shared" si="13"/>
        <v>0</v>
      </c>
      <c r="EK260" s="202">
        <v>0</v>
      </c>
      <c r="EL260" s="5"/>
      <c r="FA260" s="251">
        <f t="shared" si="14"/>
        <v>0</v>
      </c>
    </row>
    <row r="261" spans="1:157" s="1" customFormat="1" ht="20.149999999999999" customHeight="1" x14ac:dyDescent="0.35">
      <c r="A261" s="47"/>
      <c r="B261" s="189" t="s">
        <v>1008</v>
      </c>
      <c r="C261" s="47" t="s">
        <v>779</v>
      </c>
      <c r="D261" s="276" t="s">
        <v>637</v>
      </c>
      <c r="E261" s="276" t="s">
        <v>33</v>
      </c>
      <c r="F261" s="48" t="s">
        <v>51</v>
      </c>
      <c r="G261" s="48" t="s">
        <v>35</v>
      </c>
      <c r="H261" s="57"/>
      <c r="I261" s="47"/>
      <c r="J261" s="47"/>
      <c r="K261" s="47"/>
      <c r="L261" s="47"/>
      <c r="M261" s="47"/>
      <c r="N261" s="194"/>
      <c r="O261" s="194"/>
      <c r="P261" s="194"/>
      <c r="Q261" s="194"/>
      <c r="R261" s="47"/>
      <c r="S261" s="194"/>
      <c r="T261" s="47"/>
      <c r="U261" s="194"/>
      <c r="V261" s="47"/>
      <c r="W261" s="194"/>
      <c r="X261" s="47"/>
      <c r="Y261" s="194"/>
      <c r="Z261" s="194"/>
      <c r="AA261" s="47"/>
      <c r="AB261" s="47"/>
      <c r="AC261" s="47"/>
      <c r="AD261" s="47"/>
      <c r="AE261" s="194"/>
      <c r="AF261" s="194"/>
      <c r="AG261" s="194"/>
      <c r="AH261" s="5"/>
      <c r="AI261" s="47"/>
      <c r="AJ261" s="223"/>
      <c r="AK261" s="47"/>
      <c r="AL261" s="47"/>
      <c r="AM261" s="47"/>
      <c r="AN261" s="47"/>
      <c r="AO261" s="47"/>
      <c r="AP261" s="194"/>
      <c r="AQ261" s="47"/>
      <c r="AR261" s="47"/>
      <c r="AS261" s="47"/>
      <c r="AT261" s="194"/>
      <c r="AU261" s="194"/>
      <c r="AV261" s="194"/>
      <c r="AW261" s="194"/>
      <c r="AX261" s="194"/>
      <c r="AY261" s="194"/>
      <c r="AZ261" s="194"/>
      <c r="BA261" s="194"/>
      <c r="BB261" s="194"/>
      <c r="BC261" s="194"/>
      <c r="BD261" s="194"/>
      <c r="BE261" s="194"/>
      <c r="BF261" s="194"/>
      <c r="BG261" s="194"/>
      <c r="BH261" s="194"/>
      <c r="BI261" s="194"/>
      <c r="BJ261" s="194"/>
      <c r="BK261" s="194"/>
      <c r="BL261" s="194"/>
      <c r="BM261" s="194"/>
      <c r="BN261" s="194"/>
      <c r="BO261" s="194"/>
      <c r="BP261" s="194"/>
      <c r="BQ261" s="47"/>
      <c r="BR261" s="194"/>
      <c r="BS261" s="47"/>
      <c r="BT261" s="47"/>
      <c r="BU261" s="47"/>
      <c r="BV261" s="47"/>
      <c r="BW261" s="47"/>
      <c r="BX261" s="194"/>
      <c r="BY261" s="194"/>
      <c r="BZ261" s="194"/>
      <c r="CA261" s="194"/>
      <c r="CB261" s="194"/>
      <c r="CC261" s="47"/>
      <c r="CD261" s="47"/>
      <c r="CE261" s="47"/>
      <c r="CF261" s="47"/>
      <c r="CG261" s="47"/>
      <c r="CH261" s="47"/>
      <c r="CI261" s="47"/>
      <c r="CJ261" s="47"/>
      <c r="CK261" s="224"/>
      <c r="CL261" s="194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194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198"/>
      <c r="DX261" s="47"/>
      <c r="DY261" s="194"/>
      <c r="DZ261" s="47"/>
      <c r="EA261" s="47"/>
      <c r="EB261" s="194"/>
      <c r="EC261" s="47"/>
      <c r="ED261" s="195"/>
      <c r="EE261" s="195"/>
      <c r="EF261" s="195"/>
      <c r="EG261" s="195"/>
      <c r="EH261" s="195"/>
      <c r="EI261" s="196">
        <f t="shared" si="12"/>
        <v>0</v>
      </c>
      <c r="EJ261" s="201">
        <f t="shared" si="13"/>
        <v>0</v>
      </c>
      <c r="EK261" s="202">
        <v>0</v>
      </c>
      <c r="EL261" s="5"/>
      <c r="FA261" s="251">
        <f t="shared" si="14"/>
        <v>0</v>
      </c>
    </row>
    <row r="262" spans="1:157" s="1" customFormat="1" ht="20.149999999999999" customHeight="1" x14ac:dyDescent="0.35">
      <c r="A262" s="47"/>
      <c r="B262" s="189" t="s">
        <v>1009</v>
      </c>
      <c r="C262" s="47" t="s">
        <v>780</v>
      </c>
      <c r="D262" s="276" t="s">
        <v>637</v>
      </c>
      <c r="E262" s="276" t="s">
        <v>33</v>
      </c>
      <c r="F262" s="48" t="s">
        <v>51</v>
      </c>
      <c r="G262" s="48" t="s">
        <v>35</v>
      </c>
      <c r="H262" s="57"/>
      <c r="I262" s="47"/>
      <c r="J262" s="47"/>
      <c r="K262" s="47"/>
      <c r="L262" s="47"/>
      <c r="M262" s="47"/>
      <c r="N262" s="194"/>
      <c r="O262" s="194"/>
      <c r="P262" s="194"/>
      <c r="Q262" s="194"/>
      <c r="R262" s="47"/>
      <c r="S262" s="194"/>
      <c r="T262" s="47"/>
      <c r="U262" s="194"/>
      <c r="V262" s="47"/>
      <c r="W262" s="194"/>
      <c r="X262" s="47"/>
      <c r="Y262" s="194"/>
      <c r="Z262" s="194"/>
      <c r="AA262" s="47"/>
      <c r="AB262" s="47"/>
      <c r="AC262" s="47"/>
      <c r="AD262" s="47"/>
      <c r="AE262" s="194"/>
      <c r="AF262" s="194"/>
      <c r="AG262" s="194"/>
      <c r="AH262" s="5"/>
      <c r="AI262" s="47"/>
      <c r="AJ262" s="223"/>
      <c r="AK262" s="47"/>
      <c r="AL262" s="47"/>
      <c r="AM262" s="47"/>
      <c r="AN262" s="47"/>
      <c r="AO262" s="47"/>
      <c r="AP262" s="194"/>
      <c r="AQ262" s="47"/>
      <c r="AR262" s="47"/>
      <c r="AS262" s="47"/>
      <c r="AT262" s="194"/>
      <c r="AU262" s="194"/>
      <c r="AV262" s="194"/>
      <c r="AW262" s="194"/>
      <c r="AX262" s="194"/>
      <c r="AY262" s="194"/>
      <c r="AZ262" s="194"/>
      <c r="BA262" s="194"/>
      <c r="BB262" s="194"/>
      <c r="BC262" s="194"/>
      <c r="BD262" s="194"/>
      <c r="BE262" s="194"/>
      <c r="BF262" s="194"/>
      <c r="BG262" s="194"/>
      <c r="BH262" s="194"/>
      <c r="BI262" s="194"/>
      <c r="BJ262" s="194"/>
      <c r="BK262" s="194"/>
      <c r="BL262" s="194"/>
      <c r="BM262" s="194"/>
      <c r="BN262" s="194"/>
      <c r="BO262" s="194"/>
      <c r="BP262" s="194"/>
      <c r="BQ262" s="47"/>
      <c r="BR262" s="194"/>
      <c r="BS262" s="47"/>
      <c r="BT262" s="47"/>
      <c r="BU262" s="47"/>
      <c r="BV262" s="47"/>
      <c r="BW262" s="47"/>
      <c r="BX262" s="194"/>
      <c r="BY262" s="194"/>
      <c r="BZ262" s="194"/>
      <c r="CA262" s="194"/>
      <c r="CB262" s="194"/>
      <c r="CC262" s="47"/>
      <c r="CD262" s="47"/>
      <c r="CE262" s="47"/>
      <c r="CF262" s="47"/>
      <c r="CG262" s="47"/>
      <c r="CH262" s="47"/>
      <c r="CI262" s="47"/>
      <c r="CJ262" s="47"/>
      <c r="CK262" s="224"/>
      <c r="CL262" s="194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194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198"/>
      <c r="DX262" s="47"/>
      <c r="DY262" s="194"/>
      <c r="DZ262" s="47"/>
      <c r="EA262" s="47"/>
      <c r="EB262" s="194"/>
      <c r="EC262" s="47"/>
      <c r="ED262" s="195"/>
      <c r="EE262" s="195"/>
      <c r="EF262" s="195"/>
      <c r="EG262" s="195"/>
      <c r="EH262" s="195"/>
      <c r="EI262" s="196">
        <f t="shared" si="12"/>
        <v>0</v>
      </c>
      <c r="EJ262" s="201">
        <f t="shared" si="13"/>
        <v>0</v>
      </c>
      <c r="EK262" s="202">
        <v>0</v>
      </c>
      <c r="EL262" s="5"/>
      <c r="FA262" s="251">
        <f t="shared" si="14"/>
        <v>0</v>
      </c>
    </row>
    <row r="263" spans="1:157" s="1" customFormat="1" ht="20.149999999999999" customHeight="1" x14ac:dyDescent="0.45">
      <c r="A263" s="47"/>
      <c r="B263" s="189" t="s">
        <v>1010</v>
      </c>
      <c r="C263" s="47" t="s">
        <v>781</v>
      </c>
      <c r="D263" s="185"/>
      <c r="E263" s="185"/>
      <c r="F263" s="48" t="s">
        <v>51</v>
      </c>
      <c r="G263" s="48" t="s">
        <v>35</v>
      </c>
      <c r="H263" s="57"/>
      <c r="I263" s="47"/>
      <c r="J263" s="47"/>
      <c r="K263" s="47"/>
      <c r="L263" s="47"/>
      <c r="M263" s="47"/>
      <c r="N263" s="194"/>
      <c r="O263" s="194"/>
      <c r="P263" s="194"/>
      <c r="Q263" s="194"/>
      <c r="R263" s="47"/>
      <c r="S263" s="194"/>
      <c r="T263" s="47"/>
      <c r="U263" s="194"/>
      <c r="V263" s="47"/>
      <c r="W263" s="194"/>
      <c r="X263" s="47"/>
      <c r="Y263" s="194"/>
      <c r="Z263" s="194"/>
      <c r="AA263" s="47"/>
      <c r="AB263" s="47"/>
      <c r="AC263" s="47"/>
      <c r="AD263" s="47"/>
      <c r="AE263" s="194"/>
      <c r="AF263" s="194"/>
      <c r="AG263" s="194"/>
      <c r="AH263" s="5"/>
      <c r="AI263" s="47"/>
      <c r="AJ263" s="223"/>
      <c r="AK263" s="47"/>
      <c r="AL263" s="47"/>
      <c r="AM263" s="47"/>
      <c r="AN263" s="47"/>
      <c r="AO263" s="47"/>
      <c r="AP263" s="194"/>
      <c r="AQ263" s="47"/>
      <c r="AR263" s="47"/>
      <c r="AS263" s="47"/>
      <c r="AT263" s="194"/>
      <c r="AU263" s="194"/>
      <c r="AV263" s="194"/>
      <c r="AW263" s="194"/>
      <c r="AX263" s="194"/>
      <c r="AY263" s="194"/>
      <c r="AZ263" s="194"/>
      <c r="BA263" s="194"/>
      <c r="BB263" s="194"/>
      <c r="BC263" s="194"/>
      <c r="BD263" s="194"/>
      <c r="BE263" s="194"/>
      <c r="BF263" s="194"/>
      <c r="BG263" s="194"/>
      <c r="BH263" s="194"/>
      <c r="BI263" s="194"/>
      <c r="BJ263" s="194"/>
      <c r="BK263" s="194"/>
      <c r="BL263" s="194"/>
      <c r="BM263" s="194"/>
      <c r="BN263" s="194"/>
      <c r="BO263" s="194"/>
      <c r="BP263" s="194"/>
      <c r="BQ263" s="47"/>
      <c r="BR263" s="194"/>
      <c r="BS263" s="47"/>
      <c r="BT263" s="47"/>
      <c r="BU263" s="47"/>
      <c r="BV263" s="47"/>
      <c r="BW263" s="47"/>
      <c r="BX263" s="194"/>
      <c r="BY263" s="194"/>
      <c r="BZ263" s="194"/>
      <c r="CA263" s="194"/>
      <c r="CB263" s="194"/>
      <c r="CC263" s="47"/>
      <c r="CD263" s="47"/>
      <c r="CE263" s="47"/>
      <c r="CF263" s="47"/>
      <c r="CG263" s="47"/>
      <c r="CH263" s="47"/>
      <c r="CI263" s="47"/>
      <c r="CJ263" s="47"/>
      <c r="CK263" s="224"/>
      <c r="CL263" s="194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194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198"/>
      <c r="DX263" s="47"/>
      <c r="DY263" s="194"/>
      <c r="DZ263" s="47"/>
      <c r="EA263" s="47"/>
      <c r="EB263" s="194"/>
      <c r="EC263" s="47"/>
      <c r="ED263" s="195"/>
      <c r="EE263" s="195"/>
      <c r="EF263" s="195"/>
      <c r="EG263" s="195"/>
      <c r="EH263" s="195"/>
      <c r="EI263" s="196">
        <f t="shared" si="12"/>
        <v>0</v>
      </c>
      <c r="EJ263" s="201">
        <f t="shared" si="13"/>
        <v>0</v>
      </c>
      <c r="EK263" s="202">
        <v>0</v>
      </c>
      <c r="EL263" s="5"/>
      <c r="FA263" s="251">
        <f t="shared" si="14"/>
        <v>0</v>
      </c>
    </row>
    <row r="264" spans="1:157" s="1" customFormat="1" ht="20.149999999999999" customHeight="1" x14ac:dyDescent="0.45">
      <c r="A264" s="47"/>
      <c r="B264" s="189" t="s">
        <v>1011</v>
      </c>
      <c r="C264" s="47" t="s">
        <v>782</v>
      </c>
      <c r="D264" s="185"/>
      <c r="E264" s="185"/>
      <c r="F264" s="48" t="s">
        <v>51</v>
      </c>
      <c r="G264" s="48" t="s">
        <v>35</v>
      </c>
      <c r="H264" s="57"/>
      <c r="I264" s="47"/>
      <c r="J264" s="47"/>
      <c r="K264" s="47"/>
      <c r="L264" s="47"/>
      <c r="M264" s="47"/>
      <c r="N264" s="194"/>
      <c r="O264" s="194"/>
      <c r="P264" s="194"/>
      <c r="Q264" s="194"/>
      <c r="R264" s="47"/>
      <c r="S264" s="194"/>
      <c r="T264" s="47"/>
      <c r="U264" s="194"/>
      <c r="V264" s="47"/>
      <c r="W264" s="194"/>
      <c r="X264" s="47"/>
      <c r="Y264" s="194"/>
      <c r="Z264" s="194"/>
      <c r="AA264" s="47"/>
      <c r="AB264" s="47"/>
      <c r="AC264" s="47"/>
      <c r="AD264" s="47"/>
      <c r="AE264" s="194"/>
      <c r="AF264" s="194"/>
      <c r="AG264" s="194"/>
      <c r="AH264" s="5"/>
      <c r="AI264" s="47"/>
      <c r="AJ264" s="223"/>
      <c r="AK264" s="47"/>
      <c r="AL264" s="47"/>
      <c r="AM264" s="47"/>
      <c r="AN264" s="47"/>
      <c r="AO264" s="47"/>
      <c r="AP264" s="194"/>
      <c r="AQ264" s="47"/>
      <c r="AR264" s="47"/>
      <c r="AS264" s="47"/>
      <c r="AT264" s="194"/>
      <c r="AU264" s="194"/>
      <c r="AV264" s="194"/>
      <c r="AW264" s="194"/>
      <c r="AX264" s="194"/>
      <c r="AY264" s="194"/>
      <c r="AZ264" s="194"/>
      <c r="BA264" s="194"/>
      <c r="BB264" s="194"/>
      <c r="BC264" s="194"/>
      <c r="BD264" s="194"/>
      <c r="BE264" s="194"/>
      <c r="BF264" s="194"/>
      <c r="BG264" s="194"/>
      <c r="BH264" s="194"/>
      <c r="BI264" s="194"/>
      <c r="BJ264" s="194"/>
      <c r="BK264" s="194"/>
      <c r="BL264" s="194"/>
      <c r="BM264" s="194"/>
      <c r="BN264" s="194"/>
      <c r="BO264" s="194"/>
      <c r="BP264" s="194"/>
      <c r="BQ264" s="47"/>
      <c r="BR264" s="194"/>
      <c r="BS264" s="47"/>
      <c r="BT264" s="47"/>
      <c r="BU264" s="47"/>
      <c r="BV264" s="47"/>
      <c r="BW264" s="47"/>
      <c r="BX264" s="194"/>
      <c r="BY264" s="194"/>
      <c r="BZ264" s="194"/>
      <c r="CA264" s="194"/>
      <c r="CB264" s="194"/>
      <c r="CC264" s="47"/>
      <c r="CD264" s="47"/>
      <c r="CE264" s="47"/>
      <c r="CF264" s="47"/>
      <c r="CG264" s="47"/>
      <c r="CH264" s="47"/>
      <c r="CI264" s="47"/>
      <c r="CJ264" s="47"/>
      <c r="CK264" s="224"/>
      <c r="CL264" s="194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194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198"/>
      <c r="DX264" s="47"/>
      <c r="DY264" s="194"/>
      <c r="DZ264" s="47"/>
      <c r="EA264" s="47"/>
      <c r="EB264" s="194"/>
      <c r="EC264" s="47"/>
      <c r="ED264" s="195"/>
      <c r="EE264" s="195"/>
      <c r="EF264" s="195"/>
      <c r="EG264" s="195"/>
      <c r="EH264" s="195"/>
      <c r="EI264" s="196">
        <f t="shared" si="12"/>
        <v>0</v>
      </c>
      <c r="EJ264" s="201">
        <f t="shared" si="13"/>
        <v>0</v>
      </c>
      <c r="EK264" s="202">
        <v>0</v>
      </c>
      <c r="EL264" s="5"/>
      <c r="FA264" s="251">
        <f t="shared" si="14"/>
        <v>0</v>
      </c>
    </row>
    <row r="265" spans="1:157" s="1" customFormat="1" ht="20.149999999999999" customHeight="1" x14ac:dyDescent="0.45">
      <c r="A265" s="47"/>
      <c r="B265" s="189" t="s">
        <v>1012</v>
      </c>
      <c r="C265" s="47" t="s">
        <v>783</v>
      </c>
      <c r="D265" s="185"/>
      <c r="E265" s="185"/>
      <c r="F265" s="48" t="s">
        <v>51</v>
      </c>
      <c r="G265" s="48" t="s">
        <v>35</v>
      </c>
      <c r="H265" s="334">
        <f>14</f>
        <v>14</v>
      </c>
      <c r="I265" s="47"/>
      <c r="J265" s="47"/>
      <c r="K265" s="47"/>
      <c r="L265" s="47"/>
      <c r="M265" s="47"/>
      <c r="N265" s="194"/>
      <c r="O265" s="194"/>
      <c r="P265" s="194"/>
      <c r="Q265" s="194"/>
      <c r="R265" s="47"/>
      <c r="S265" s="194"/>
      <c r="T265" s="47"/>
      <c r="U265" s="194"/>
      <c r="V265" s="47"/>
      <c r="W265" s="194"/>
      <c r="X265" s="47"/>
      <c r="Y265" s="194"/>
      <c r="Z265" s="194"/>
      <c r="AA265" s="47"/>
      <c r="AB265" s="47"/>
      <c r="AC265" s="47"/>
      <c r="AD265" s="47"/>
      <c r="AE265" s="194"/>
      <c r="AF265" s="194"/>
      <c r="AG265" s="194"/>
      <c r="AH265" s="5"/>
      <c r="AI265" s="47"/>
      <c r="AJ265" s="223"/>
      <c r="AK265" s="47"/>
      <c r="AL265" s="47"/>
      <c r="AM265" s="47"/>
      <c r="AN265" s="47"/>
      <c r="AO265" s="47"/>
      <c r="AP265" s="194"/>
      <c r="AQ265" s="47"/>
      <c r="AR265" s="47"/>
      <c r="AS265" s="47"/>
      <c r="AT265" s="194"/>
      <c r="AU265" s="194"/>
      <c r="AV265" s="194"/>
      <c r="AW265" s="194"/>
      <c r="AX265" s="194"/>
      <c r="AY265" s="194"/>
      <c r="AZ265" s="194"/>
      <c r="BA265" s="194"/>
      <c r="BB265" s="194"/>
      <c r="BC265" s="194"/>
      <c r="BD265" s="194"/>
      <c r="BE265" s="194"/>
      <c r="BF265" s="194"/>
      <c r="BG265" s="194"/>
      <c r="BH265" s="194"/>
      <c r="BI265" s="194"/>
      <c r="BJ265" s="194"/>
      <c r="BK265" s="194"/>
      <c r="BL265" s="194"/>
      <c r="BM265" s="194"/>
      <c r="BN265" s="194"/>
      <c r="BO265" s="194"/>
      <c r="BP265" s="194"/>
      <c r="BQ265" s="47"/>
      <c r="BR265" s="194"/>
      <c r="BS265" s="47"/>
      <c r="BT265" s="47"/>
      <c r="BU265" s="47"/>
      <c r="BV265" s="47"/>
      <c r="BW265" s="47"/>
      <c r="BX265" s="194"/>
      <c r="BY265" s="194"/>
      <c r="BZ265" s="194"/>
      <c r="CA265" s="194"/>
      <c r="CB265" s="194"/>
      <c r="CC265" s="47"/>
      <c r="CD265" s="47"/>
      <c r="CE265" s="47"/>
      <c r="CF265" s="47"/>
      <c r="CG265" s="47"/>
      <c r="CH265" s="47"/>
      <c r="CI265" s="47"/>
      <c r="CJ265" s="47"/>
      <c r="CK265" s="224"/>
      <c r="CL265" s="194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194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198"/>
      <c r="DX265" s="47"/>
      <c r="DY265" s="194"/>
      <c r="DZ265" s="47"/>
      <c r="EA265" s="47"/>
      <c r="EB265" s="194"/>
      <c r="EC265" s="47"/>
      <c r="ED265" s="195"/>
      <c r="EE265" s="195"/>
      <c r="EF265" s="195"/>
      <c r="EG265" s="195"/>
      <c r="EH265" s="195"/>
      <c r="EI265" s="196">
        <f t="shared" si="12"/>
        <v>0</v>
      </c>
      <c r="EJ265" s="201">
        <f t="shared" si="13"/>
        <v>17.78</v>
      </c>
      <c r="EK265" s="202">
        <v>0</v>
      </c>
      <c r="EL265" s="5"/>
      <c r="FA265" s="251">
        <f t="shared" si="14"/>
        <v>14</v>
      </c>
    </row>
    <row r="266" spans="1:157" s="1" customFormat="1" ht="20.149999999999999" customHeight="1" x14ac:dyDescent="0.45">
      <c r="A266" s="47"/>
      <c r="B266" s="189" t="s">
        <v>1013</v>
      </c>
      <c r="C266" s="47" t="s">
        <v>784</v>
      </c>
      <c r="D266" s="185"/>
      <c r="E266" s="185"/>
      <c r="F266" s="48" t="s">
        <v>51</v>
      </c>
      <c r="G266" s="48" t="s">
        <v>35</v>
      </c>
      <c r="H266" s="57"/>
      <c r="I266" s="47"/>
      <c r="J266" s="47"/>
      <c r="K266" s="47"/>
      <c r="L266" s="47"/>
      <c r="M266" s="47"/>
      <c r="N266" s="194"/>
      <c r="O266" s="194"/>
      <c r="P266" s="194"/>
      <c r="Q266" s="194"/>
      <c r="R266" s="47"/>
      <c r="S266" s="194"/>
      <c r="T266" s="47"/>
      <c r="U266" s="194"/>
      <c r="V266" s="47"/>
      <c r="W266" s="194"/>
      <c r="X266" s="47"/>
      <c r="Y266" s="194"/>
      <c r="Z266" s="194"/>
      <c r="AA266" s="47"/>
      <c r="AB266" s="47"/>
      <c r="AC266" s="47"/>
      <c r="AD266" s="47"/>
      <c r="AE266" s="194"/>
      <c r="AF266" s="194"/>
      <c r="AG266" s="194"/>
      <c r="AH266" s="5"/>
      <c r="AI266" s="47"/>
      <c r="AJ266" s="223"/>
      <c r="AK266" s="47"/>
      <c r="AL266" s="47"/>
      <c r="AM266" s="47"/>
      <c r="AN266" s="47"/>
      <c r="AO266" s="47"/>
      <c r="AP266" s="194"/>
      <c r="AQ266" s="47"/>
      <c r="AR266" s="47"/>
      <c r="AS266" s="47"/>
      <c r="AT266" s="194"/>
      <c r="AU266" s="194"/>
      <c r="AV266" s="194"/>
      <c r="AW266" s="194"/>
      <c r="AX266" s="194"/>
      <c r="AY266" s="194"/>
      <c r="AZ266" s="194"/>
      <c r="BA266" s="194"/>
      <c r="BB266" s="194"/>
      <c r="BC266" s="194"/>
      <c r="BD266" s="194"/>
      <c r="BE266" s="194"/>
      <c r="BF266" s="194"/>
      <c r="BG266" s="194"/>
      <c r="BH266" s="194"/>
      <c r="BI266" s="194"/>
      <c r="BJ266" s="194"/>
      <c r="BK266" s="194"/>
      <c r="BL266" s="194"/>
      <c r="BM266" s="194"/>
      <c r="BN266" s="194"/>
      <c r="BO266" s="194"/>
      <c r="BP266" s="194"/>
      <c r="BQ266" s="47"/>
      <c r="BR266" s="194"/>
      <c r="BS266" s="47"/>
      <c r="BT266" s="47"/>
      <c r="BU266" s="47"/>
      <c r="BV266" s="47"/>
      <c r="BW266" s="47"/>
      <c r="BX266" s="194"/>
      <c r="BY266" s="194"/>
      <c r="BZ266" s="194"/>
      <c r="CA266" s="194"/>
      <c r="CB266" s="194"/>
      <c r="CC266" s="47"/>
      <c r="CD266" s="47"/>
      <c r="CE266" s="47"/>
      <c r="CF266" s="47"/>
      <c r="CG266" s="47"/>
      <c r="CH266" s="47"/>
      <c r="CI266" s="47"/>
      <c r="CJ266" s="47"/>
      <c r="CK266" s="224"/>
      <c r="CL266" s="194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194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198"/>
      <c r="DX266" s="47"/>
      <c r="DY266" s="194"/>
      <c r="DZ266" s="47"/>
      <c r="EA266" s="47"/>
      <c r="EB266" s="194"/>
      <c r="EC266" s="47"/>
      <c r="ED266" s="195"/>
      <c r="EE266" s="195"/>
      <c r="EF266" s="195"/>
      <c r="EG266" s="195"/>
      <c r="EH266" s="195"/>
      <c r="EI266" s="196">
        <f t="shared" si="12"/>
        <v>0</v>
      </c>
      <c r="EJ266" s="201">
        <f t="shared" si="13"/>
        <v>0</v>
      </c>
      <c r="EK266" s="202">
        <v>0</v>
      </c>
      <c r="EL266" s="5"/>
      <c r="FA266" s="251">
        <f t="shared" si="14"/>
        <v>0</v>
      </c>
    </row>
    <row r="267" spans="1:157" s="1" customFormat="1" ht="20.149999999999999" customHeight="1" x14ac:dyDescent="0.45">
      <c r="A267" s="47"/>
      <c r="B267" s="189" t="s">
        <v>1014</v>
      </c>
      <c r="C267" s="47" t="s">
        <v>785</v>
      </c>
      <c r="D267" s="185"/>
      <c r="E267" s="185"/>
      <c r="F267" s="48" t="s">
        <v>51</v>
      </c>
      <c r="G267" s="48" t="s">
        <v>35</v>
      </c>
      <c r="H267" s="334">
        <v>6.5</v>
      </c>
      <c r="I267" s="47"/>
      <c r="J267" s="47"/>
      <c r="K267" s="47"/>
      <c r="L267" s="47"/>
      <c r="M267" s="47"/>
      <c r="N267" s="194"/>
      <c r="O267" s="194"/>
      <c r="P267" s="194"/>
      <c r="Q267" s="194"/>
      <c r="R267" s="47"/>
      <c r="S267" s="194"/>
      <c r="T267" s="47"/>
      <c r="U267" s="194"/>
      <c r="V267" s="47"/>
      <c r="W267" s="194"/>
      <c r="X267" s="47"/>
      <c r="Y267" s="194"/>
      <c r="Z267" s="194"/>
      <c r="AA267" s="47"/>
      <c r="AB267" s="47"/>
      <c r="AC267" s="47"/>
      <c r="AD267" s="47"/>
      <c r="AE267" s="194"/>
      <c r="AF267" s="194"/>
      <c r="AG267" s="194"/>
      <c r="AH267" s="5"/>
      <c r="AI267" s="47"/>
      <c r="AJ267" s="223"/>
      <c r="AK267" s="47"/>
      <c r="AL267" s="47"/>
      <c r="AM267" s="47"/>
      <c r="AN267" s="47"/>
      <c r="AO267" s="47"/>
      <c r="AP267" s="194"/>
      <c r="AQ267" s="47"/>
      <c r="AR267" s="47"/>
      <c r="AS267" s="47"/>
      <c r="AT267" s="194"/>
      <c r="AU267" s="194"/>
      <c r="AV267" s="194"/>
      <c r="AW267" s="194"/>
      <c r="AX267" s="194"/>
      <c r="AY267" s="194"/>
      <c r="AZ267" s="194"/>
      <c r="BA267" s="194"/>
      <c r="BB267" s="194"/>
      <c r="BC267" s="194"/>
      <c r="BD267" s="194"/>
      <c r="BE267" s="194"/>
      <c r="BF267" s="194"/>
      <c r="BG267" s="194"/>
      <c r="BH267" s="194"/>
      <c r="BI267" s="194"/>
      <c r="BJ267" s="194"/>
      <c r="BK267" s="194"/>
      <c r="BL267" s="194"/>
      <c r="BM267" s="194"/>
      <c r="BN267" s="194"/>
      <c r="BO267" s="194"/>
      <c r="BP267" s="194"/>
      <c r="BQ267" s="47"/>
      <c r="BR267" s="194"/>
      <c r="BS267" s="47"/>
      <c r="BT267" s="47"/>
      <c r="BU267" s="47"/>
      <c r="BV267" s="47"/>
      <c r="BW267" s="47"/>
      <c r="BX267" s="194"/>
      <c r="BY267" s="194"/>
      <c r="BZ267" s="194"/>
      <c r="CA267" s="194"/>
      <c r="CB267" s="194"/>
      <c r="CC267" s="47"/>
      <c r="CD267" s="47"/>
      <c r="CE267" s="47"/>
      <c r="CF267" s="47"/>
      <c r="CG267" s="47"/>
      <c r="CH267" s="47"/>
      <c r="CI267" s="47"/>
      <c r="CJ267" s="47"/>
      <c r="CK267" s="224"/>
      <c r="CL267" s="194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194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198"/>
      <c r="DX267" s="47"/>
      <c r="DY267" s="194"/>
      <c r="DZ267" s="47"/>
      <c r="EA267" s="47"/>
      <c r="EB267" s="194"/>
      <c r="EC267" s="47"/>
      <c r="ED267" s="195"/>
      <c r="EE267" s="195"/>
      <c r="EF267" s="195"/>
      <c r="EG267" s="195"/>
      <c r="EH267" s="195"/>
      <c r="EI267" s="196">
        <f t="shared" si="12"/>
        <v>0</v>
      </c>
      <c r="EJ267" s="201">
        <f t="shared" si="13"/>
        <v>8.2550000000000008</v>
      </c>
      <c r="EK267" s="202">
        <v>0</v>
      </c>
      <c r="EL267" s="5"/>
      <c r="FA267" s="251">
        <f t="shared" si="14"/>
        <v>6.5</v>
      </c>
    </row>
    <row r="268" spans="1:157" s="1" customFormat="1" ht="20.149999999999999" customHeight="1" x14ac:dyDescent="0.45">
      <c r="A268" s="47"/>
      <c r="B268" s="189" t="s">
        <v>1015</v>
      </c>
      <c r="C268" s="47" t="s">
        <v>1727</v>
      </c>
      <c r="D268" s="398" t="s">
        <v>637</v>
      </c>
      <c r="E268" s="398" t="s">
        <v>1728</v>
      </c>
      <c r="F268" s="48" t="s">
        <v>301</v>
      </c>
      <c r="G268" s="48" t="s">
        <v>1729</v>
      </c>
      <c r="H268" s="328">
        <f>4.5*3</f>
        <v>13.5</v>
      </c>
      <c r="I268" s="47"/>
      <c r="J268" s="47"/>
      <c r="K268" s="47"/>
      <c r="L268" s="47"/>
      <c r="M268" s="47"/>
      <c r="N268" s="194"/>
      <c r="O268" s="194"/>
      <c r="P268" s="194"/>
      <c r="Q268" s="194"/>
      <c r="R268" s="47"/>
      <c r="S268" s="194"/>
      <c r="T268" s="47"/>
      <c r="U268" s="194"/>
      <c r="V268" s="47"/>
      <c r="W268" s="194"/>
      <c r="X268" s="47"/>
      <c r="Y268" s="194"/>
      <c r="Z268" s="194"/>
      <c r="AA268" s="47"/>
      <c r="AB268" s="47"/>
      <c r="AC268" s="47"/>
      <c r="AD268" s="47"/>
      <c r="AE268" s="194"/>
      <c r="AF268" s="194"/>
      <c r="AG268" s="194"/>
      <c r="AH268" s="5"/>
      <c r="AI268" s="47"/>
      <c r="AJ268" s="223"/>
      <c r="AK268" s="47"/>
      <c r="AL268" s="47"/>
      <c r="AM268" s="47"/>
      <c r="AN268" s="47"/>
      <c r="AO268" s="47"/>
      <c r="AP268" s="194"/>
      <c r="AQ268" s="47"/>
      <c r="AR268" s="47"/>
      <c r="AS268" s="47"/>
      <c r="AT268" s="194"/>
      <c r="AU268" s="194"/>
      <c r="AV268" s="194"/>
      <c r="AW268" s="194"/>
      <c r="AX268" s="194"/>
      <c r="AY268" s="194"/>
      <c r="AZ268" s="194"/>
      <c r="BA268" s="194"/>
      <c r="BB268" s="194"/>
      <c r="BC268" s="194"/>
      <c r="BD268" s="194"/>
      <c r="BE268" s="194"/>
      <c r="BF268" s="194"/>
      <c r="BG268" s="194"/>
      <c r="BH268" s="194"/>
      <c r="BI268" s="194"/>
      <c r="BJ268" s="194"/>
      <c r="BK268" s="194"/>
      <c r="BL268" s="194"/>
      <c r="BM268" s="194"/>
      <c r="BN268" s="194"/>
      <c r="BO268" s="194"/>
      <c r="BP268" s="194"/>
      <c r="BQ268" s="47"/>
      <c r="BR268" s="194"/>
      <c r="BS268" s="47"/>
      <c r="BT268" s="47"/>
      <c r="BU268" s="47"/>
      <c r="BV268" s="47"/>
      <c r="BW268" s="47"/>
      <c r="BX268" s="194"/>
      <c r="BY268" s="194"/>
      <c r="BZ268" s="194"/>
      <c r="CA268" s="194"/>
      <c r="CB268" s="194"/>
      <c r="CC268" s="47"/>
      <c r="CD268" s="47"/>
      <c r="CE268" s="47"/>
      <c r="CF268" s="47"/>
      <c r="CG268" s="47"/>
      <c r="CH268" s="47"/>
      <c r="CI268" s="47"/>
      <c r="CJ268" s="47"/>
      <c r="CK268" s="224"/>
      <c r="CL268" s="194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>
        <v>19.5</v>
      </c>
      <c r="CW268" s="47"/>
      <c r="CX268" s="194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198"/>
      <c r="DX268" s="47"/>
      <c r="DY268" s="194"/>
      <c r="DZ268" s="47"/>
      <c r="EA268" s="47"/>
      <c r="EB268" s="194"/>
      <c r="EC268" s="47"/>
      <c r="ED268" s="195"/>
      <c r="EE268" s="195"/>
      <c r="EF268" s="195"/>
      <c r="EG268" s="195"/>
      <c r="EH268" s="195"/>
      <c r="EI268" s="196">
        <f t="shared" ref="EI268:EI361" si="16">H268*EH268</f>
        <v>0</v>
      </c>
      <c r="EJ268" s="201">
        <f t="shared" ref="EJ268:EJ361" si="17">H268*1.27</f>
        <v>17.145</v>
      </c>
      <c r="EK268" s="202">
        <v>0</v>
      </c>
      <c r="EL268" s="5"/>
      <c r="FA268" s="251">
        <f t="shared" si="14"/>
        <v>13.5</v>
      </c>
    </row>
    <row r="269" spans="1:157" s="1" customFormat="1" ht="20.149999999999999" customHeight="1" x14ac:dyDescent="0.45">
      <c r="A269" s="47"/>
      <c r="B269" s="189" t="s">
        <v>1162</v>
      </c>
      <c r="C269" s="47" t="s">
        <v>1228</v>
      </c>
      <c r="D269" s="185"/>
      <c r="E269" s="185"/>
      <c r="F269" s="48" t="s">
        <v>1172</v>
      </c>
      <c r="G269" s="48" t="s">
        <v>45</v>
      </c>
      <c r="H269" s="57">
        <v>37.5</v>
      </c>
      <c r="I269" s="47"/>
      <c r="J269" s="47"/>
      <c r="K269" s="47"/>
      <c r="L269" s="47"/>
      <c r="M269" s="47"/>
      <c r="N269" s="194"/>
      <c r="O269" s="194"/>
      <c r="P269" s="194"/>
      <c r="Q269" s="194"/>
      <c r="R269" s="47"/>
      <c r="S269" s="194"/>
      <c r="T269" s="47"/>
      <c r="U269" s="194"/>
      <c r="V269" s="47"/>
      <c r="W269" s="194"/>
      <c r="X269" s="47"/>
      <c r="Y269" s="194"/>
      <c r="Z269" s="194"/>
      <c r="AA269" s="47"/>
      <c r="AB269" s="47"/>
      <c r="AC269" s="47"/>
      <c r="AD269" s="47"/>
      <c r="AE269" s="194"/>
      <c r="AF269" s="194"/>
      <c r="AG269" s="194"/>
      <c r="AH269" s="5"/>
      <c r="AI269" s="47"/>
      <c r="AJ269" s="223"/>
      <c r="AK269" s="47"/>
      <c r="AL269" s="47"/>
      <c r="AM269" s="47"/>
      <c r="AN269" s="47"/>
      <c r="AO269" s="47"/>
      <c r="AP269" s="194"/>
      <c r="AQ269" s="47"/>
      <c r="AR269" s="47"/>
      <c r="AS269" s="47"/>
      <c r="AT269" s="194"/>
      <c r="AU269" s="194"/>
      <c r="AV269" s="194"/>
      <c r="AW269" s="194"/>
      <c r="AX269" s="194"/>
      <c r="AY269" s="194">
        <v>45</v>
      </c>
      <c r="AZ269" s="194"/>
      <c r="BA269" s="194"/>
      <c r="BB269" s="194"/>
      <c r="BC269" s="194"/>
      <c r="BD269" s="194"/>
      <c r="BE269" s="194"/>
      <c r="BF269" s="194"/>
      <c r="BG269" s="194"/>
      <c r="BH269" s="194"/>
      <c r="BI269" s="194"/>
      <c r="BJ269" s="194"/>
      <c r="BK269" s="194"/>
      <c r="BL269" s="194"/>
      <c r="BM269" s="194"/>
      <c r="BN269" s="194"/>
      <c r="BO269" s="194"/>
      <c r="BP269" s="194"/>
      <c r="BQ269" s="47"/>
      <c r="BR269" s="194"/>
      <c r="BS269" s="47"/>
      <c r="BT269" s="47"/>
      <c r="BU269" s="47"/>
      <c r="BV269" s="47"/>
      <c r="BW269" s="47"/>
      <c r="BX269" s="194"/>
      <c r="BY269" s="194"/>
      <c r="BZ269" s="194"/>
      <c r="CA269" s="194"/>
      <c r="CB269" s="194"/>
      <c r="CC269" s="47"/>
      <c r="CD269" s="47"/>
      <c r="CE269" s="47"/>
      <c r="CF269" s="47"/>
      <c r="CG269" s="47"/>
      <c r="CH269" s="47"/>
      <c r="CI269" s="47"/>
      <c r="CJ269" s="47"/>
      <c r="CK269" s="224"/>
      <c r="CL269" s="194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194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198"/>
      <c r="DX269" s="47"/>
      <c r="DY269" s="194"/>
      <c r="DZ269" s="47"/>
      <c r="EA269" s="47"/>
      <c r="EB269" s="194"/>
      <c r="EC269" s="47"/>
      <c r="ED269" s="195"/>
      <c r="EE269" s="195"/>
      <c r="EF269" s="195"/>
      <c r="EG269" s="195"/>
      <c r="EH269" s="195"/>
      <c r="EI269" s="196"/>
      <c r="EJ269" s="201"/>
      <c r="EK269" s="202"/>
      <c r="EL269" s="5"/>
      <c r="FA269" s="251">
        <f t="shared" si="14"/>
        <v>37.5</v>
      </c>
    </row>
    <row r="270" spans="1:157" s="1" customFormat="1" ht="20.149999999999999" customHeight="1" x14ac:dyDescent="0.45">
      <c r="A270" s="47"/>
      <c r="B270" s="189" t="s">
        <v>1163</v>
      </c>
      <c r="C270" s="47" t="s">
        <v>1264</v>
      </c>
      <c r="D270" s="2" t="s">
        <v>637</v>
      </c>
      <c r="E270" s="185" t="s">
        <v>33</v>
      </c>
      <c r="F270" s="48" t="s">
        <v>1209</v>
      </c>
      <c r="G270" s="48" t="s">
        <v>45</v>
      </c>
      <c r="H270" s="57">
        <v>8.9</v>
      </c>
      <c r="I270" s="47"/>
      <c r="J270" s="47"/>
      <c r="K270" s="47"/>
      <c r="L270" s="47"/>
      <c r="M270" s="47"/>
      <c r="N270" s="194"/>
      <c r="O270" s="194"/>
      <c r="P270" s="194"/>
      <c r="Q270" s="194"/>
      <c r="R270" s="47"/>
      <c r="S270" s="194"/>
      <c r="T270" s="47"/>
      <c r="U270" s="194"/>
      <c r="V270" s="47"/>
      <c r="W270" s="194"/>
      <c r="X270" s="47"/>
      <c r="Y270" s="194"/>
      <c r="Z270" s="194"/>
      <c r="AA270" s="47"/>
      <c r="AB270" s="47"/>
      <c r="AC270" s="47"/>
      <c r="AD270" s="47"/>
      <c r="AE270" s="194"/>
      <c r="AF270" s="194"/>
      <c r="AG270" s="194"/>
      <c r="AH270" s="5"/>
      <c r="AI270" s="47"/>
      <c r="AJ270" s="223"/>
      <c r="AK270" s="47"/>
      <c r="AL270" s="47"/>
      <c r="AM270" s="47"/>
      <c r="AN270" s="47"/>
      <c r="AO270" s="47"/>
      <c r="AP270" s="194"/>
      <c r="AQ270" s="47"/>
      <c r="AR270" s="47"/>
      <c r="AS270" s="47"/>
      <c r="AT270" s="194"/>
      <c r="AU270" s="194"/>
      <c r="AV270" s="194"/>
      <c r="AW270" s="194"/>
      <c r="AX270" s="194"/>
      <c r="AY270" s="194"/>
      <c r="AZ270" s="194"/>
      <c r="BA270" s="194"/>
      <c r="BB270" s="194"/>
      <c r="BC270" s="194"/>
      <c r="BD270" s="194"/>
      <c r="BE270" s="194"/>
      <c r="BF270" s="194"/>
      <c r="BG270" s="194"/>
      <c r="BH270" s="194"/>
      <c r="BI270" s="194"/>
      <c r="BJ270" s="194"/>
      <c r="BK270" s="194"/>
      <c r="BL270" s="194"/>
      <c r="BM270" s="194"/>
      <c r="BN270" s="194"/>
      <c r="BO270" s="194"/>
      <c r="BP270" s="194"/>
      <c r="BQ270" s="47"/>
      <c r="BR270" s="194"/>
      <c r="BS270" s="47"/>
      <c r="BT270" s="47"/>
      <c r="BU270" s="47"/>
      <c r="BV270" s="47"/>
      <c r="BW270" s="47"/>
      <c r="BX270" s="194"/>
      <c r="BY270" s="194"/>
      <c r="BZ270" s="194"/>
      <c r="CA270" s="194"/>
      <c r="CB270" s="194"/>
      <c r="CC270" s="47"/>
      <c r="CD270" s="47"/>
      <c r="CE270" s="47"/>
      <c r="CF270" s="47"/>
      <c r="CG270" s="47"/>
      <c r="CH270" s="47"/>
      <c r="CI270" s="47"/>
      <c r="CJ270" s="47"/>
      <c r="CK270" s="224"/>
      <c r="CL270" s="194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194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198"/>
      <c r="DX270" s="47"/>
      <c r="DY270" s="194"/>
      <c r="DZ270" s="47"/>
      <c r="EA270" s="47"/>
      <c r="EB270" s="194"/>
      <c r="EC270" s="47"/>
      <c r="ED270" s="195"/>
      <c r="EE270" s="195"/>
      <c r="EF270" s="195"/>
      <c r="EG270" s="195"/>
      <c r="EH270" s="195"/>
      <c r="EI270" s="196"/>
      <c r="EJ270" s="201"/>
      <c r="EK270" s="202"/>
      <c r="EL270" s="5"/>
      <c r="FA270" s="251">
        <f t="shared" si="14"/>
        <v>8.9</v>
      </c>
    </row>
    <row r="271" spans="1:157" s="1" customFormat="1" ht="20.149999999999999" customHeight="1" x14ac:dyDescent="0.45">
      <c r="A271" s="47"/>
      <c r="B271" s="189" t="s">
        <v>1164</v>
      </c>
      <c r="C271" s="47" t="s">
        <v>1265</v>
      </c>
      <c r="D271" s="2" t="s">
        <v>33</v>
      </c>
      <c r="E271" s="185" t="s">
        <v>33</v>
      </c>
      <c r="F271" s="48" t="s">
        <v>1172</v>
      </c>
      <c r="G271" s="48" t="s">
        <v>45</v>
      </c>
      <c r="H271" s="328">
        <f>5.5/5</f>
        <v>1.1000000000000001</v>
      </c>
      <c r="I271" s="47"/>
      <c r="J271" s="47"/>
      <c r="K271" s="47"/>
      <c r="L271" s="47"/>
      <c r="M271" s="47"/>
      <c r="N271" s="194"/>
      <c r="O271" s="194"/>
      <c r="P271" s="194"/>
      <c r="Q271" s="194"/>
      <c r="R271" s="47"/>
      <c r="S271" s="194"/>
      <c r="T271" s="47"/>
      <c r="U271" s="194"/>
      <c r="V271" s="47"/>
      <c r="W271" s="194"/>
      <c r="X271" s="47"/>
      <c r="Y271" s="194"/>
      <c r="Z271" s="194"/>
      <c r="AA271" s="47"/>
      <c r="AB271" s="47"/>
      <c r="AC271" s="47"/>
      <c r="AD271" s="47"/>
      <c r="AE271" s="194"/>
      <c r="AF271" s="194"/>
      <c r="AG271" s="194"/>
      <c r="AH271" s="5"/>
      <c r="AI271" s="47"/>
      <c r="AJ271" s="223"/>
      <c r="AK271" s="47"/>
      <c r="AL271" s="47"/>
      <c r="AM271" s="47"/>
      <c r="AN271" s="47"/>
      <c r="AO271" s="47"/>
      <c r="AP271" s="194"/>
      <c r="AQ271" s="47"/>
      <c r="AR271" s="47"/>
      <c r="AS271" s="47"/>
      <c r="AT271" s="194"/>
      <c r="AU271" s="194"/>
      <c r="AV271" s="194"/>
      <c r="AW271" s="194"/>
      <c r="AX271" s="194"/>
      <c r="AY271" s="194"/>
      <c r="AZ271" s="194"/>
      <c r="BA271" s="194"/>
      <c r="BB271" s="194"/>
      <c r="BC271" s="194"/>
      <c r="BD271" s="194"/>
      <c r="BE271" s="194"/>
      <c r="BF271" s="194"/>
      <c r="BG271" s="194"/>
      <c r="BH271" s="194"/>
      <c r="BI271" s="194"/>
      <c r="BJ271" s="194"/>
      <c r="BK271" s="194"/>
      <c r="BL271" s="194"/>
      <c r="BM271" s="194"/>
      <c r="BN271" s="194"/>
      <c r="BO271" s="194"/>
      <c r="BP271" s="194"/>
      <c r="BQ271" s="47"/>
      <c r="BR271" s="194"/>
      <c r="BS271" s="47"/>
      <c r="BT271" s="47"/>
      <c r="BU271" s="47"/>
      <c r="BV271" s="47"/>
      <c r="BW271" s="47"/>
      <c r="BX271" s="194"/>
      <c r="BY271" s="194"/>
      <c r="BZ271" s="194"/>
      <c r="CA271" s="194"/>
      <c r="CB271" s="194"/>
      <c r="CC271" s="47"/>
      <c r="CD271" s="47"/>
      <c r="CE271" s="47"/>
      <c r="CF271" s="47"/>
      <c r="CG271" s="47"/>
      <c r="CH271" s="47"/>
      <c r="CI271" s="47"/>
      <c r="CJ271" s="47"/>
      <c r="CK271" s="224"/>
      <c r="CL271" s="194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194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198"/>
      <c r="DX271" s="47"/>
      <c r="DY271" s="194"/>
      <c r="DZ271" s="47"/>
      <c r="EA271" s="47"/>
      <c r="EB271" s="194"/>
      <c r="EC271" s="47"/>
      <c r="ED271" s="195"/>
      <c r="EE271" s="195"/>
      <c r="EF271" s="195"/>
      <c r="EG271" s="195"/>
      <c r="EH271" s="195"/>
      <c r="EI271" s="196"/>
      <c r="EJ271" s="201"/>
      <c r="EK271" s="202"/>
      <c r="EL271" s="5"/>
      <c r="FA271" s="251">
        <f t="shared" si="14"/>
        <v>1.1000000000000001</v>
      </c>
    </row>
    <row r="272" spans="1:157" s="1" customFormat="1" ht="20.149999999999999" customHeight="1" x14ac:dyDescent="0.45">
      <c r="A272" s="47"/>
      <c r="B272" s="189" t="s">
        <v>1241</v>
      </c>
      <c r="C272" s="47" t="s">
        <v>1266</v>
      </c>
      <c r="D272" s="2" t="s">
        <v>637</v>
      </c>
      <c r="E272" s="185" t="s">
        <v>33</v>
      </c>
      <c r="F272" s="48" t="s">
        <v>65</v>
      </c>
      <c r="G272" s="48" t="s">
        <v>35</v>
      </c>
      <c r="H272" s="328">
        <v>13.5</v>
      </c>
      <c r="I272" s="47"/>
      <c r="J272" s="47"/>
      <c r="K272" s="47"/>
      <c r="L272" s="47"/>
      <c r="M272" s="47"/>
      <c r="N272" s="194"/>
      <c r="O272" s="194"/>
      <c r="P272" s="194"/>
      <c r="Q272" s="194"/>
      <c r="R272" s="47"/>
      <c r="S272" s="194"/>
      <c r="T272" s="47"/>
      <c r="U272" s="194"/>
      <c r="V272" s="47"/>
      <c r="W272" s="194"/>
      <c r="X272" s="47"/>
      <c r="Y272" s="194"/>
      <c r="Z272" s="194"/>
      <c r="AA272" s="47"/>
      <c r="AB272" s="47"/>
      <c r="AC272" s="47"/>
      <c r="AD272" s="47"/>
      <c r="AE272" s="194"/>
      <c r="AF272" s="194"/>
      <c r="AG272" s="194"/>
      <c r="AH272" s="5"/>
      <c r="AI272" s="47"/>
      <c r="AJ272" s="223"/>
      <c r="AK272" s="47"/>
      <c r="AL272" s="47"/>
      <c r="AM272" s="47"/>
      <c r="AN272" s="47"/>
      <c r="AO272" s="47"/>
      <c r="AP272" s="194"/>
      <c r="AQ272" s="47"/>
      <c r="AR272" s="47"/>
      <c r="AS272" s="47"/>
      <c r="AT272" s="194"/>
      <c r="AU272" s="194"/>
      <c r="AV272" s="194"/>
      <c r="AW272" s="194"/>
      <c r="AX272" s="194"/>
      <c r="AY272" s="194"/>
      <c r="AZ272" s="194"/>
      <c r="BA272" s="194"/>
      <c r="BB272" s="194"/>
      <c r="BC272" s="194"/>
      <c r="BD272" s="194"/>
      <c r="BE272" s="194"/>
      <c r="BF272" s="194"/>
      <c r="BG272" s="194"/>
      <c r="BH272" s="194"/>
      <c r="BI272" s="194"/>
      <c r="BJ272" s="194"/>
      <c r="BK272" s="194"/>
      <c r="BL272" s="194"/>
      <c r="BM272" s="194"/>
      <c r="BN272" s="194"/>
      <c r="BO272" s="194"/>
      <c r="BP272" s="194"/>
      <c r="BQ272" s="47"/>
      <c r="BR272" s="194"/>
      <c r="BS272" s="47"/>
      <c r="BT272" s="47"/>
      <c r="BU272" s="47"/>
      <c r="BV272" s="47"/>
      <c r="BW272" s="47"/>
      <c r="BX272" s="194"/>
      <c r="BY272" s="194"/>
      <c r="BZ272" s="194"/>
      <c r="CA272" s="194"/>
      <c r="CB272" s="194"/>
      <c r="CC272" s="47"/>
      <c r="CD272" s="47"/>
      <c r="CE272" s="47"/>
      <c r="CF272" s="47"/>
      <c r="CG272" s="47"/>
      <c r="CH272" s="47"/>
      <c r="CI272" s="47"/>
      <c r="CJ272" s="47"/>
      <c r="CK272" s="224"/>
      <c r="CL272" s="194">
        <v>20</v>
      </c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194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198"/>
      <c r="DX272" s="47"/>
      <c r="DY272" s="194"/>
      <c r="DZ272" s="47"/>
      <c r="EA272" s="47"/>
      <c r="EB272" s="194"/>
      <c r="EC272" s="47"/>
      <c r="ED272" s="195"/>
      <c r="EE272" s="195"/>
      <c r="EF272" s="195"/>
      <c r="EG272" s="195"/>
      <c r="EH272" s="195"/>
      <c r="EI272" s="196"/>
      <c r="EJ272" s="201"/>
      <c r="EK272" s="202"/>
      <c r="EL272" s="5"/>
      <c r="FA272" s="251">
        <f t="shared" si="14"/>
        <v>13.5</v>
      </c>
    </row>
    <row r="273" spans="1:157" s="1" customFormat="1" ht="20.149999999999999" customHeight="1" x14ac:dyDescent="0.45">
      <c r="A273" s="47"/>
      <c r="B273" s="189" t="s">
        <v>1267</v>
      </c>
      <c r="C273" s="47" t="s">
        <v>1268</v>
      </c>
      <c r="D273" s="2" t="s">
        <v>637</v>
      </c>
      <c r="E273" s="185" t="s">
        <v>33</v>
      </c>
      <c r="F273" s="48" t="s">
        <v>78</v>
      </c>
      <c r="G273" s="48" t="s">
        <v>570</v>
      </c>
      <c r="H273" s="328">
        <f>3.5*25</f>
        <v>87.5</v>
      </c>
      <c r="I273" s="47"/>
      <c r="J273" s="47"/>
      <c r="K273" s="47"/>
      <c r="L273" s="47"/>
      <c r="M273" s="47"/>
      <c r="N273" s="194"/>
      <c r="O273" s="194"/>
      <c r="P273" s="194"/>
      <c r="Q273" s="194"/>
      <c r="R273" s="47"/>
      <c r="S273" s="194"/>
      <c r="T273" s="47"/>
      <c r="U273" s="194"/>
      <c r="V273" s="47"/>
      <c r="W273" s="194"/>
      <c r="X273" s="47"/>
      <c r="Y273" s="194"/>
      <c r="Z273" s="194"/>
      <c r="AA273" s="47"/>
      <c r="AB273" s="47"/>
      <c r="AC273" s="47"/>
      <c r="AD273" s="47"/>
      <c r="AE273" s="194"/>
      <c r="AF273" s="194"/>
      <c r="AG273" s="194"/>
      <c r="AH273" s="5"/>
      <c r="AI273" s="47"/>
      <c r="AJ273" s="223"/>
      <c r="AK273" s="47"/>
      <c r="AL273" s="47"/>
      <c r="AM273" s="47"/>
      <c r="AN273" s="47"/>
      <c r="AO273" s="47"/>
      <c r="AP273" s="194"/>
      <c r="AQ273" s="47"/>
      <c r="AR273" s="47"/>
      <c r="AS273" s="47"/>
      <c r="AT273" s="194"/>
      <c r="AU273" s="194"/>
      <c r="AV273" s="194"/>
      <c r="AW273" s="194"/>
      <c r="AX273" s="194"/>
      <c r="AY273" s="194"/>
      <c r="AZ273" s="194"/>
      <c r="BA273" s="194"/>
      <c r="BB273" s="194"/>
      <c r="BC273" s="194"/>
      <c r="BD273" s="194"/>
      <c r="BE273" s="194"/>
      <c r="BF273" s="194"/>
      <c r="BG273" s="194"/>
      <c r="BH273" s="194"/>
      <c r="BI273" s="194"/>
      <c r="BJ273" s="194"/>
      <c r="BK273" s="194"/>
      <c r="BL273" s="194"/>
      <c r="BM273" s="194"/>
      <c r="BN273" s="194"/>
      <c r="BO273" s="194"/>
      <c r="BP273" s="194"/>
      <c r="BQ273" s="47"/>
      <c r="BR273" s="194"/>
      <c r="BS273" s="47"/>
      <c r="BT273" s="47"/>
      <c r="BU273" s="47"/>
      <c r="BV273" s="47"/>
      <c r="BW273" s="47"/>
      <c r="BX273" s="194"/>
      <c r="BY273" s="194"/>
      <c r="BZ273" s="194"/>
      <c r="CA273" s="194"/>
      <c r="CB273" s="194"/>
      <c r="CC273" s="47"/>
      <c r="CD273" s="47"/>
      <c r="CE273" s="47"/>
      <c r="CF273" s="47"/>
      <c r="CG273" s="47"/>
      <c r="CH273" s="47"/>
      <c r="CI273" s="47"/>
      <c r="CJ273" s="47"/>
      <c r="CK273" s="224"/>
      <c r="CL273" s="194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194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198"/>
      <c r="DX273" s="47"/>
      <c r="DY273" s="194"/>
      <c r="DZ273" s="47"/>
      <c r="EA273" s="47"/>
      <c r="EB273" s="194"/>
      <c r="EC273" s="47"/>
      <c r="ED273" s="195"/>
      <c r="EE273" s="195"/>
      <c r="EF273" s="195"/>
      <c r="EG273" s="195"/>
      <c r="EH273" s="195"/>
      <c r="EI273" s="196"/>
      <c r="EJ273" s="201"/>
      <c r="EK273" s="202"/>
      <c r="EL273" s="5"/>
      <c r="FA273" s="251">
        <f t="shared" si="14"/>
        <v>87.5</v>
      </c>
    </row>
    <row r="274" spans="1:157" s="1" customFormat="1" ht="20.149999999999999" customHeight="1" x14ac:dyDescent="0.45">
      <c r="A274" s="47"/>
      <c r="B274" s="47" t="s">
        <v>1683</v>
      </c>
      <c r="C274" s="47" t="s">
        <v>1684</v>
      </c>
      <c r="D274" s="398" t="s">
        <v>1685</v>
      </c>
      <c r="E274" s="276"/>
      <c r="F274" s="48" t="s">
        <v>1686</v>
      </c>
      <c r="G274" s="48" t="s">
        <v>45</v>
      </c>
      <c r="H274" s="223">
        <v>6.9</v>
      </c>
      <c r="I274" s="47"/>
      <c r="J274" s="47"/>
      <c r="K274" s="47"/>
      <c r="L274" s="47"/>
      <c r="M274" s="47"/>
      <c r="N274" s="194"/>
      <c r="O274" s="194"/>
      <c r="P274" s="194"/>
      <c r="Q274" s="194"/>
      <c r="R274" s="47"/>
      <c r="S274" s="194"/>
      <c r="T274" s="47"/>
      <c r="U274" s="194"/>
      <c r="V274" s="47"/>
      <c r="W274" s="194"/>
      <c r="X274" s="47"/>
      <c r="Y274" s="194"/>
      <c r="Z274" s="194"/>
      <c r="AA274" s="47"/>
      <c r="AB274" s="47"/>
      <c r="AC274" s="47"/>
      <c r="AD274" s="47"/>
      <c r="AE274" s="194"/>
      <c r="AF274" s="194"/>
      <c r="AG274" s="194"/>
      <c r="AH274" s="5"/>
      <c r="AI274" s="47"/>
      <c r="AJ274" s="223"/>
      <c r="AK274" s="47"/>
      <c r="AL274" s="47"/>
      <c r="AM274" s="47"/>
      <c r="AN274" s="47"/>
      <c r="AO274" s="47"/>
      <c r="AP274" s="194"/>
      <c r="AQ274" s="47"/>
      <c r="AR274" s="47"/>
      <c r="AS274" s="47"/>
      <c r="AT274" s="194"/>
      <c r="AU274" s="194"/>
      <c r="AV274" s="194"/>
      <c r="AW274" s="194"/>
      <c r="AX274" s="194"/>
      <c r="AY274" s="194"/>
      <c r="AZ274" s="194"/>
      <c r="BA274" s="194"/>
      <c r="BB274" s="194"/>
      <c r="BC274" s="194"/>
      <c r="BD274" s="194"/>
      <c r="BE274" s="194"/>
      <c r="BF274" s="194"/>
      <c r="BG274" s="194"/>
      <c r="BH274" s="194"/>
      <c r="BI274" s="194"/>
      <c r="BJ274" s="194"/>
      <c r="BK274" s="194"/>
      <c r="BL274" s="194"/>
      <c r="BM274" s="194"/>
      <c r="BN274" s="194"/>
      <c r="BO274" s="194"/>
      <c r="BP274" s="194"/>
      <c r="BQ274" s="47"/>
      <c r="BR274" s="194"/>
      <c r="BS274" s="47"/>
      <c r="BT274" s="47"/>
      <c r="BU274" s="47"/>
      <c r="BV274" s="47"/>
      <c r="BW274" s="47"/>
      <c r="BX274" s="194"/>
      <c r="BY274" s="194"/>
      <c r="BZ274" s="194"/>
      <c r="CA274" s="194"/>
      <c r="CB274" s="194"/>
      <c r="CC274" s="47"/>
      <c r="CD274" s="47"/>
      <c r="CE274" s="47"/>
      <c r="CF274" s="47"/>
      <c r="CG274" s="47"/>
      <c r="CH274" s="47"/>
      <c r="CI274" s="47"/>
      <c r="CJ274" s="47"/>
      <c r="CK274" s="224"/>
      <c r="CL274" s="194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194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198"/>
      <c r="DX274" s="47"/>
      <c r="DY274" s="194"/>
      <c r="DZ274" s="47"/>
      <c r="EA274" s="47"/>
      <c r="EB274" s="194"/>
      <c r="EC274" s="47"/>
      <c r="ED274" s="195"/>
      <c r="EE274" s="195"/>
      <c r="EF274" s="195"/>
      <c r="EG274" s="195"/>
      <c r="EH274" s="195"/>
      <c r="EI274" s="196"/>
      <c r="EJ274" s="201"/>
      <c r="EK274" s="202"/>
      <c r="EL274" s="5"/>
      <c r="FA274" s="251">
        <f t="shared" si="14"/>
        <v>6.9</v>
      </c>
    </row>
    <row r="275" spans="1:157" s="1" customFormat="1" ht="20.149999999999999" customHeight="1" x14ac:dyDescent="0.45">
      <c r="A275" s="47"/>
      <c r="B275" s="380" t="s">
        <v>1687</v>
      </c>
      <c r="C275" s="380" t="s">
        <v>1688</v>
      </c>
      <c r="D275" s="399" t="s">
        <v>56</v>
      </c>
      <c r="E275" s="400" t="s">
        <v>1689</v>
      </c>
      <c r="F275" s="391" t="s">
        <v>1452</v>
      </c>
      <c r="G275" s="48" t="s">
        <v>45</v>
      </c>
      <c r="H275" s="223">
        <v>4.8</v>
      </c>
      <c r="I275" s="47"/>
      <c r="J275" s="47"/>
      <c r="K275" s="47"/>
      <c r="L275" s="47"/>
      <c r="M275" s="47"/>
      <c r="N275" s="194"/>
      <c r="O275" s="194"/>
      <c r="P275" s="194"/>
      <c r="Q275" s="194"/>
      <c r="R275" s="47"/>
      <c r="S275" s="194"/>
      <c r="T275" s="47"/>
      <c r="U275" s="194"/>
      <c r="V275" s="47"/>
      <c r="W275" s="194"/>
      <c r="X275" s="47"/>
      <c r="Y275" s="194"/>
      <c r="Z275" s="194"/>
      <c r="AA275" s="47"/>
      <c r="AB275" s="47"/>
      <c r="AC275" s="47"/>
      <c r="AD275" s="47"/>
      <c r="AE275" s="194"/>
      <c r="AF275" s="194"/>
      <c r="AG275" s="194"/>
      <c r="AH275" s="5"/>
      <c r="AI275" s="47"/>
      <c r="AJ275" s="223"/>
      <c r="AK275" s="47"/>
      <c r="AL275" s="47"/>
      <c r="AM275" s="47"/>
      <c r="AN275" s="47"/>
      <c r="AO275" s="47"/>
      <c r="AP275" s="194"/>
      <c r="AQ275" s="47"/>
      <c r="AR275" s="47"/>
      <c r="AS275" s="47"/>
      <c r="AT275" s="194"/>
      <c r="AU275" s="194"/>
      <c r="AV275" s="194"/>
      <c r="AW275" s="194"/>
      <c r="AX275" s="194"/>
      <c r="AY275" s="194"/>
      <c r="AZ275" s="194"/>
      <c r="BA275" s="194"/>
      <c r="BB275" s="194"/>
      <c r="BC275" s="194"/>
      <c r="BD275" s="194"/>
      <c r="BE275" s="194"/>
      <c r="BF275" s="194"/>
      <c r="BG275" s="194"/>
      <c r="BH275" s="194"/>
      <c r="BI275" s="194"/>
      <c r="BJ275" s="194"/>
      <c r="BK275" s="194"/>
      <c r="BL275" s="194"/>
      <c r="BM275" s="194"/>
      <c r="BN275" s="194"/>
      <c r="BO275" s="194"/>
      <c r="BP275" s="194"/>
      <c r="BQ275" s="47"/>
      <c r="BR275" s="194"/>
      <c r="BS275" s="47"/>
      <c r="BT275" s="47"/>
      <c r="BU275" s="47"/>
      <c r="BV275" s="47"/>
      <c r="BW275" s="47"/>
      <c r="BX275" s="194"/>
      <c r="BY275" s="194"/>
      <c r="BZ275" s="194"/>
      <c r="CA275" s="194"/>
      <c r="CB275" s="194"/>
      <c r="CC275" s="47"/>
      <c r="CD275" s="47"/>
      <c r="CE275" s="47"/>
      <c r="CF275" s="47"/>
      <c r="CG275" s="47"/>
      <c r="CH275" s="47"/>
      <c r="CI275" s="47"/>
      <c r="CJ275" s="47"/>
      <c r="CK275" s="224"/>
      <c r="CL275" s="194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194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198"/>
      <c r="DX275" s="47"/>
      <c r="DY275" s="194"/>
      <c r="DZ275" s="47"/>
      <c r="EA275" s="47"/>
      <c r="EB275" s="194"/>
      <c r="EC275" s="47"/>
      <c r="ED275" s="195"/>
      <c r="EE275" s="195"/>
      <c r="EF275" s="195"/>
      <c r="EG275" s="195"/>
      <c r="EH275" s="195"/>
      <c r="EI275" s="196"/>
      <c r="EJ275" s="201"/>
      <c r="EK275" s="202"/>
      <c r="EL275" s="5"/>
      <c r="FA275" s="251">
        <f t="shared" si="14"/>
        <v>4.8</v>
      </c>
    </row>
    <row r="276" spans="1:157" s="1" customFormat="1" ht="20.149999999999999" customHeight="1" x14ac:dyDescent="0.45">
      <c r="A276" s="47"/>
      <c r="B276" s="380" t="s">
        <v>1690</v>
      </c>
      <c r="C276" s="380" t="s">
        <v>1691</v>
      </c>
      <c r="D276" s="399" t="s">
        <v>637</v>
      </c>
      <c r="E276" s="400" t="s">
        <v>1692</v>
      </c>
      <c r="F276" s="391" t="s">
        <v>1359</v>
      </c>
      <c r="G276" s="48" t="s">
        <v>45</v>
      </c>
      <c r="H276" s="223">
        <v>8.4</v>
      </c>
      <c r="I276" s="47"/>
      <c r="J276" s="47"/>
      <c r="K276" s="47"/>
      <c r="L276" s="47"/>
      <c r="M276" s="47"/>
      <c r="N276" s="194"/>
      <c r="O276" s="194"/>
      <c r="P276" s="194"/>
      <c r="Q276" s="194"/>
      <c r="R276" s="47"/>
      <c r="S276" s="194"/>
      <c r="T276" s="47"/>
      <c r="U276" s="194"/>
      <c r="V276" s="47"/>
      <c r="W276" s="194"/>
      <c r="X276" s="47"/>
      <c r="Y276" s="194"/>
      <c r="Z276" s="194"/>
      <c r="AA276" s="47"/>
      <c r="AB276" s="47"/>
      <c r="AC276" s="47"/>
      <c r="AD276" s="47"/>
      <c r="AE276" s="194"/>
      <c r="AF276" s="194"/>
      <c r="AG276" s="194"/>
      <c r="AH276" s="5"/>
      <c r="AI276" s="47"/>
      <c r="AJ276" s="223"/>
      <c r="AK276" s="47"/>
      <c r="AL276" s="47"/>
      <c r="AM276" s="47"/>
      <c r="AN276" s="47"/>
      <c r="AO276" s="47"/>
      <c r="AP276" s="194"/>
      <c r="AQ276" s="47"/>
      <c r="AR276" s="47"/>
      <c r="AS276" s="47"/>
      <c r="AT276" s="194"/>
      <c r="AU276" s="194"/>
      <c r="AV276" s="194"/>
      <c r="AW276" s="194"/>
      <c r="AX276" s="194"/>
      <c r="AY276" s="194"/>
      <c r="AZ276" s="194"/>
      <c r="BA276" s="194"/>
      <c r="BB276" s="194"/>
      <c r="BC276" s="194"/>
      <c r="BD276" s="194"/>
      <c r="BE276" s="194"/>
      <c r="BF276" s="194"/>
      <c r="BG276" s="194"/>
      <c r="BH276" s="194"/>
      <c r="BI276" s="194"/>
      <c r="BJ276" s="194"/>
      <c r="BK276" s="194"/>
      <c r="BL276" s="194"/>
      <c r="BM276" s="194"/>
      <c r="BN276" s="194"/>
      <c r="BO276" s="194"/>
      <c r="BP276" s="194"/>
      <c r="BQ276" s="47"/>
      <c r="BR276" s="194"/>
      <c r="BS276" s="47"/>
      <c r="BT276" s="47"/>
      <c r="BU276" s="47"/>
      <c r="BV276" s="47"/>
      <c r="BW276" s="47"/>
      <c r="BX276" s="194"/>
      <c r="BY276" s="194"/>
      <c r="BZ276" s="194"/>
      <c r="CA276" s="194"/>
      <c r="CB276" s="194"/>
      <c r="CC276" s="47"/>
      <c r="CD276" s="47"/>
      <c r="CE276" s="47"/>
      <c r="CF276" s="47"/>
      <c r="CG276" s="47"/>
      <c r="CH276" s="47"/>
      <c r="CI276" s="47"/>
      <c r="CJ276" s="47"/>
      <c r="CK276" s="224"/>
      <c r="CL276" s="194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194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198"/>
      <c r="DX276" s="47"/>
      <c r="DY276" s="194"/>
      <c r="DZ276" s="47"/>
      <c r="EA276" s="47"/>
      <c r="EB276" s="194"/>
      <c r="EC276" s="47"/>
      <c r="ED276" s="195"/>
      <c r="EE276" s="195"/>
      <c r="EF276" s="195"/>
      <c r="EG276" s="195"/>
      <c r="EH276" s="195"/>
      <c r="EI276" s="196"/>
      <c r="EJ276" s="201"/>
      <c r="EK276" s="202"/>
      <c r="EL276" s="5"/>
      <c r="FA276" s="251">
        <f t="shared" si="14"/>
        <v>8.4</v>
      </c>
    </row>
    <row r="277" spans="1:157" s="1" customFormat="1" ht="20.149999999999999" customHeight="1" x14ac:dyDescent="0.45">
      <c r="A277" s="47"/>
      <c r="B277" s="380" t="s">
        <v>1693</v>
      </c>
      <c r="C277" s="380" t="s">
        <v>1691</v>
      </c>
      <c r="D277" s="399" t="s">
        <v>637</v>
      </c>
      <c r="E277" s="400" t="s">
        <v>1692</v>
      </c>
      <c r="F277" s="391" t="s">
        <v>1201</v>
      </c>
      <c r="G277" s="48" t="s">
        <v>45</v>
      </c>
      <c r="H277" s="223">
        <v>4.92</v>
      </c>
      <c r="I277" s="47"/>
      <c r="J277" s="47"/>
      <c r="K277" s="47"/>
      <c r="L277" s="47"/>
      <c r="M277" s="47"/>
      <c r="N277" s="194"/>
      <c r="O277" s="194"/>
      <c r="P277" s="194"/>
      <c r="Q277" s="194"/>
      <c r="R277" s="47"/>
      <c r="S277" s="194"/>
      <c r="T277" s="47"/>
      <c r="U277" s="194"/>
      <c r="V277" s="47"/>
      <c r="W277" s="194"/>
      <c r="X277" s="47"/>
      <c r="Y277" s="194"/>
      <c r="Z277" s="194"/>
      <c r="AA277" s="47"/>
      <c r="AB277" s="47"/>
      <c r="AC277" s="47"/>
      <c r="AD277" s="47"/>
      <c r="AE277" s="194"/>
      <c r="AF277" s="194"/>
      <c r="AG277" s="194"/>
      <c r="AH277" s="5"/>
      <c r="AI277" s="47"/>
      <c r="AJ277" s="223"/>
      <c r="AK277" s="47"/>
      <c r="AL277" s="47"/>
      <c r="AM277" s="47"/>
      <c r="AN277" s="47"/>
      <c r="AO277" s="47"/>
      <c r="AP277" s="194"/>
      <c r="AQ277" s="47"/>
      <c r="AR277" s="47"/>
      <c r="AS277" s="47"/>
      <c r="AT277" s="194"/>
      <c r="AU277" s="194"/>
      <c r="AV277" s="194"/>
      <c r="AW277" s="194"/>
      <c r="AX277" s="194"/>
      <c r="AY277" s="194"/>
      <c r="AZ277" s="194"/>
      <c r="BA277" s="194"/>
      <c r="BB277" s="194"/>
      <c r="BC277" s="194"/>
      <c r="BD277" s="194"/>
      <c r="BE277" s="194"/>
      <c r="BF277" s="194"/>
      <c r="BG277" s="194"/>
      <c r="BH277" s="194"/>
      <c r="BI277" s="194"/>
      <c r="BJ277" s="194"/>
      <c r="BK277" s="194"/>
      <c r="BL277" s="194"/>
      <c r="BM277" s="194"/>
      <c r="BN277" s="194"/>
      <c r="BO277" s="194"/>
      <c r="BP277" s="194"/>
      <c r="BQ277" s="47"/>
      <c r="BR277" s="194"/>
      <c r="BS277" s="47"/>
      <c r="BT277" s="47"/>
      <c r="BU277" s="47"/>
      <c r="BV277" s="47"/>
      <c r="BW277" s="47"/>
      <c r="BX277" s="194"/>
      <c r="BY277" s="194"/>
      <c r="BZ277" s="194"/>
      <c r="CA277" s="194"/>
      <c r="CB277" s="194"/>
      <c r="CC277" s="47"/>
      <c r="CD277" s="47"/>
      <c r="CE277" s="47"/>
      <c r="CF277" s="47"/>
      <c r="CG277" s="47"/>
      <c r="CH277" s="47"/>
      <c r="CI277" s="47"/>
      <c r="CJ277" s="47"/>
      <c r="CK277" s="224"/>
      <c r="CL277" s="194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194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198"/>
      <c r="DX277" s="47"/>
      <c r="DY277" s="194"/>
      <c r="DZ277" s="47"/>
      <c r="EA277" s="47"/>
      <c r="EB277" s="194"/>
      <c r="EC277" s="47"/>
      <c r="ED277" s="195"/>
      <c r="EE277" s="195"/>
      <c r="EF277" s="195"/>
      <c r="EG277" s="195"/>
      <c r="EH277" s="195"/>
      <c r="EI277" s="196"/>
      <c r="EJ277" s="201"/>
      <c r="EK277" s="202"/>
      <c r="EL277" s="5"/>
      <c r="FA277" s="251">
        <f t="shared" si="14"/>
        <v>4.92</v>
      </c>
    </row>
    <row r="278" spans="1:157" s="1" customFormat="1" ht="20.149999999999999" customHeight="1" x14ac:dyDescent="0.35">
      <c r="A278" s="47"/>
      <c r="B278" s="189" t="s">
        <v>1694</v>
      </c>
      <c r="C278" s="47" t="s">
        <v>1695</v>
      </c>
      <c r="D278" s="2"/>
      <c r="E278" s="2" t="s">
        <v>699</v>
      </c>
      <c r="F278" s="48" t="s">
        <v>1696</v>
      </c>
      <c r="G278" s="48" t="s">
        <v>570</v>
      </c>
      <c r="H278" s="328">
        <v>9.375</v>
      </c>
      <c r="I278" s="47"/>
      <c r="J278" s="47"/>
      <c r="K278" s="47"/>
      <c r="L278" s="47"/>
      <c r="M278" s="47"/>
      <c r="N278" s="194"/>
      <c r="O278" s="194"/>
      <c r="P278" s="194"/>
      <c r="Q278" s="194"/>
      <c r="R278" s="47"/>
      <c r="S278" s="194"/>
      <c r="T278" s="47"/>
      <c r="U278" s="194"/>
      <c r="V278" s="47"/>
      <c r="W278" s="194"/>
      <c r="X278" s="47"/>
      <c r="Y278" s="194"/>
      <c r="Z278" s="194"/>
      <c r="AA278" s="47"/>
      <c r="AB278" s="47"/>
      <c r="AC278" s="47"/>
      <c r="AD278" s="47"/>
      <c r="AE278" s="194"/>
      <c r="AF278" s="194"/>
      <c r="AG278" s="194"/>
      <c r="AH278" s="5"/>
      <c r="AI278" s="47"/>
      <c r="AJ278" s="223"/>
      <c r="AK278" s="47"/>
      <c r="AL278" s="47"/>
      <c r="AM278" s="47"/>
      <c r="AN278" s="47"/>
      <c r="AO278" s="47"/>
      <c r="AP278" s="194"/>
      <c r="AQ278" s="47"/>
      <c r="AR278" s="47"/>
      <c r="AS278" s="47"/>
      <c r="AT278" s="194"/>
      <c r="AU278" s="194"/>
      <c r="AV278" s="194"/>
      <c r="AW278" s="194"/>
      <c r="AX278" s="194"/>
      <c r="AY278" s="194"/>
      <c r="AZ278" s="194"/>
      <c r="BA278" s="194"/>
      <c r="BB278" s="194"/>
      <c r="BC278" s="194"/>
      <c r="BD278" s="194"/>
      <c r="BE278" s="194"/>
      <c r="BF278" s="194"/>
      <c r="BG278" s="194"/>
      <c r="BH278" s="194"/>
      <c r="BI278" s="194"/>
      <c r="BJ278" s="194"/>
      <c r="BK278" s="194"/>
      <c r="BL278" s="194"/>
      <c r="BM278" s="194"/>
      <c r="BN278" s="194"/>
      <c r="BO278" s="194"/>
      <c r="BP278" s="194"/>
      <c r="BQ278" s="47"/>
      <c r="BR278" s="194"/>
      <c r="BS278" s="47"/>
      <c r="BT278" s="47"/>
      <c r="BU278" s="47"/>
      <c r="BV278" s="47"/>
      <c r="BW278" s="47"/>
      <c r="BX278" s="194"/>
      <c r="BY278" s="194"/>
      <c r="BZ278" s="194"/>
      <c r="CA278" s="194"/>
      <c r="CB278" s="194"/>
      <c r="CC278" s="47"/>
      <c r="CD278" s="47"/>
      <c r="CE278" s="47"/>
      <c r="CF278" s="47"/>
      <c r="CG278" s="47"/>
      <c r="CH278" s="47"/>
      <c r="CI278" s="47"/>
      <c r="CJ278" s="47"/>
      <c r="CK278" s="224"/>
      <c r="CL278" s="194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>
        <v>12</v>
      </c>
      <c r="CW278" s="47"/>
      <c r="CX278" s="194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198"/>
      <c r="DX278" s="47"/>
      <c r="DY278" s="194"/>
      <c r="DZ278" s="47"/>
      <c r="EA278" s="47"/>
      <c r="EB278" s="194"/>
      <c r="EC278" s="47"/>
      <c r="ED278" s="195"/>
      <c r="EE278" s="195"/>
      <c r="EF278" s="195"/>
      <c r="EG278" s="195"/>
      <c r="EH278" s="195"/>
      <c r="EI278" s="196"/>
      <c r="EJ278" s="201"/>
      <c r="EK278" s="202"/>
      <c r="EL278" s="5"/>
      <c r="FA278" s="251">
        <f t="shared" si="14"/>
        <v>9.375</v>
      </c>
    </row>
    <row r="279" spans="1:157" s="1" customFormat="1" ht="20.149999999999999" customHeight="1" x14ac:dyDescent="0.35">
      <c r="A279" s="47"/>
      <c r="B279" s="393" t="s">
        <v>1697</v>
      </c>
      <c r="C279" s="380" t="s">
        <v>1698</v>
      </c>
      <c r="D279" s="382"/>
      <c r="E279" s="382" t="s">
        <v>33</v>
      </c>
      <c r="F279" s="391" t="s">
        <v>1699</v>
      </c>
      <c r="G279" s="48" t="s">
        <v>76</v>
      </c>
      <c r="H279" s="328">
        <v>10.5</v>
      </c>
      <c r="I279" s="47"/>
      <c r="J279" s="47"/>
      <c r="K279" s="47"/>
      <c r="L279" s="47"/>
      <c r="M279" s="47"/>
      <c r="N279" s="194"/>
      <c r="O279" s="194"/>
      <c r="P279" s="194"/>
      <c r="Q279" s="194"/>
      <c r="R279" s="47"/>
      <c r="S279" s="194"/>
      <c r="T279" s="47"/>
      <c r="U279" s="194"/>
      <c r="V279" s="47"/>
      <c r="W279" s="194"/>
      <c r="X279" s="47"/>
      <c r="Y279" s="194"/>
      <c r="Z279" s="194"/>
      <c r="AA279" s="47"/>
      <c r="AB279" s="47"/>
      <c r="AC279" s="47"/>
      <c r="AD279" s="47"/>
      <c r="AE279" s="194"/>
      <c r="AF279" s="194"/>
      <c r="AG279" s="194"/>
      <c r="AH279" s="5"/>
      <c r="AI279" s="47"/>
      <c r="AJ279" s="223"/>
      <c r="AK279" s="47"/>
      <c r="AL279" s="47"/>
      <c r="AM279" s="47"/>
      <c r="AN279" s="47"/>
      <c r="AO279" s="47"/>
      <c r="AP279" s="194"/>
      <c r="AQ279" s="47"/>
      <c r="AR279" s="47"/>
      <c r="AS279" s="47"/>
      <c r="AT279" s="194"/>
      <c r="AU279" s="194"/>
      <c r="AV279" s="194"/>
      <c r="AW279" s="194"/>
      <c r="AX279" s="194"/>
      <c r="AY279" s="194"/>
      <c r="AZ279" s="194"/>
      <c r="BA279" s="194"/>
      <c r="BB279" s="194"/>
      <c r="BC279" s="194"/>
      <c r="BD279" s="194"/>
      <c r="BE279" s="194"/>
      <c r="BF279" s="194"/>
      <c r="BG279" s="194"/>
      <c r="BH279" s="194"/>
      <c r="BI279" s="194"/>
      <c r="BJ279" s="194"/>
      <c r="BK279" s="194"/>
      <c r="BL279" s="194"/>
      <c r="BM279" s="194"/>
      <c r="BN279" s="194"/>
      <c r="BO279" s="194"/>
      <c r="BP279" s="194"/>
      <c r="BQ279" s="47"/>
      <c r="BR279" s="194"/>
      <c r="BS279" s="47"/>
      <c r="BT279" s="47"/>
      <c r="BU279" s="47"/>
      <c r="BV279" s="47"/>
      <c r="BW279" s="47"/>
      <c r="BX279" s="194"/>
      <c r="BY279" s="194"/>
      <c r="BZ279" s="194"/>
      <c r="CA279" s="194"/>
      <c r="CB279" s="194"/>
      <c r="CC279" s="47"/>
      <c r="CD279" s="47"/>
      <c r="CE279" s="47"/>
      <c r="CF279" s="47"/>
      <c r="CG279" s="47"/>
      <c r="CH279" s="47"/>
      <c r="CI279" s="47"/>
      <c r="CJ279" s="47"/>
      <c r="CK279" s="224"/>
      <c r="CL279" s="194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194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198"/>
      <c r="DX279" s="47"/>
      <c r="DY279" s="194"/>
      <c r="DZ279" s="47"/>
      <c r="EA279" s="47"/>
      <c r="EB279" s="194"/>
      <c r="EC279" s="47"/>
      <c r="ED279" s="195"/>
      <c r="EE279" s="195"/>
      <c r="EF279" s="195"/>
      <c r="EG279" s="195"/>
      <c r="EH279" s="195"/>
      <c r="EI279" s="196"/>
      <c r="EJ279" s="201"/>
      <c r="EK279" s="202"/>
      <c r="EL279" s="5"/>
      <c r="FA279" s="251">
        <f t="shared" si="14"/>
        <v>10.5</v>
      </c>
    </row>
    <row r="280" spans="1:157" s="1" customFormat="1" ht="20.149999999999999" customHeight="1" x14ac:dyDescent="0.35">
      <c r="A280" s="2"/>
      <c r="B280" s="380" t="s">
        <v>857</v>
      </c>
      <c r="C280" s="380" t="s">
        <v>1394</v>
      </c>
      <c r="D280" s="382" t="s">
        <v>770</v>
      </c>
      <c r="E280" s="382" t="s">
        <v>326</v>
      </c>
      <c r="F280" s="382" t="s">
        <v>397</v>
      </c>
      <c r="G280" s="2" t="s">
        <v>32</v>
      </c>
      <c r="H280" s="328">
        <v>25</v>
      </c>
      <c r="I280" s="47"/>
      <c r="J280" s="47"/>
      <c r="K280" s="47"/>
      <c r="L280" s="47"/>
      <c r="M280" s="47"/>
      <c r="N280" s="194"/>
      <c r="O280" s="194"/>
      <c r="P280" s="194"/>
      <c r="Q280" s="194"/>
      <c r="R280" s="47"/>
      <c r="S280" s="194"/>
      <c r="T280" s="47"/>
      <c r="U280" s="194"/>
      <c r="V280" s="47"/>
      <c r="W280" s="194"/>
      <c r="X280" s="47"/>
      <c r="Y280" s="194"/>
      <c r="Z280" s="194"/>
      <c r="AA280" s="47"/>
      <c r="AB280" s="47"/>
      <c r="AC280" s="47"/>
      <c r="AD280" s="47"/>
      <c r="AE280" s="194"/>
      <c r="AF280" s="194"/>
      <c r="AG280" s="194"/>
      <c r="AH280" s="5"/>
      <c r="AI280" s="47"/>
      <c r="AJ280" s="223"/>
      <c r="AK280" s="47"/>
      <c r="AL280" s="47"/>
      <c r="AM280" s="47"/>
      <c r="AN280" s="47"/>
      <c r="AO280" s="47"/>
      <c r="AP280" s="194"/>
      <c r="AQ280" s="47"/>
      <c r="AR280" s="47"/>
      <c r="AS280" s="47">
        <v>28</v>
      </c>
      <c r="AT280" s="194"/>
      <c r="AU280" s="194"/>
      <c r="AV280" s="194"/>
      <c r="AW280" s="194"/>
      <c r="AX280" s="194"/>
      <c r="AY280" s="194"/>
      <c r="AZ280" s="194"/>
      <c r="BA280" s="194"/>
      <c r="BB280" s="194"/>
      <c r="BC280" s="194"/>
      <c r="BD280" s="194"/>
      <c r="BE280" s="194"/>
      <c r="BF280" s="194"/>
      <c r="BG280" s="194"/>
      <c r="BH280" s="194"/>
      <c r="BI280" s="194"/>
      <c r="BJ280" s="194"/>
      <c r="BK280" s="194"/>
      <c r="BL280" s="194"/>
      <c r="BM280" s="194"/>
      <c r="BN280" s="194"/>
      <c r="BO280" s="194"/>
      <c r="BP280" s="194"/>
      <c r="BQ280" s="47">
        <v>28</v>
      </c>
      <c r="BR280" s="194"/>
      <c r="BS280" s="47"/>
      <c r="BT280" s="47"/>
      <c r="BU280" s="47"/>
      <c r="BV280" s="47"/>
      <c r="BW280" s="47"/>
      <c r="BX280" s="194">
        <v>30</v>
      </c>
      <c r="BY280" s="194"/>
      <c r="BZ280" s="194"/>
      <c r="CA280" s="194"/>
      <c r="CB280" s="194"/>
      <c r="CC280" s="47"/>
      <c r="CD280" s="47"/>
      <c r="CE280" s="47"/>
      <c r="CF280" s="47"/>
      <c r="CG280" s="47"/>
      <c r="CH280" s="47"/>
      <c r="CI280" s="47"/>
      <c r="CJ280" s="47"/>
      <c r="CK280" s="194"/>
      <c r="CL280" s="194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194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198"/>
      <c r="DX280" s="47"/>
      <c r="DY280" s="194"/>
      <c r="DZ280" s="47"/>
      <c r="EA280" s="47"/>
      <c r="EB280" s="194"/>
      <c r="EC280" s="47"/>
      <c r="ED280" s="195"/>
      <c r="EE280" s="195"/>
      <c r="EF280" s="195"/>
      <c r="EG280" s="195"/>
      <c r="EH280" s="195">
        <v>12</v>
      </c>
      <c r="EI280" s="196">
        <f t="shared" si="16"/>
        <v>300</v>
      </c>
      <c r="EJ280" s="201">
        <f t="shared" si="17"/>
        <v>31.75</v>
      </c>
      <c r="EK280" s="202">
        <v>26</v>
      </c>
      <c r="EL280" s="5"/>
      <c r="FA280" s="251">
        <f t="shared" si="14"/>
        <v>25</v>
      </c>
    </row>
    <row r="281" spans="1:157" s="1" customFormat="1" ht="20.149999999999999" customHeight="1" x14ac:dyDescent="0.35">
      <c r="A281" s="2"/>
      <c r="B281" s="47" t="s">
        <v>1016</v>
      </c>
      <c r="C281" s="380" t="s">
        <v>1394</v>
      </c>
      <c r="D281" s="252" t="s">
        <v>770</v>
      </c>
      <c r="E281" s="2" t="s">
        <v>326</v>
      </c>
      <c r="F281" s="2" t="s">
        <v>642</v>
      </c>
      <c r="G281" s="375" t="s">
        <v>32</v>
      </c>
      <c r="H281" s="328">
        <f>H280/2</f>
        <v>12.5</v>
      </c>
      <c r="I281" s="47"/>
      <c r="J281" s="47"/>
      <c r="K281" s="47"/>
      <c r="L281" s="47"/>
      <c r="M281" s="47"/>
      <c r="N281" s="194"/>
      <c r="O281" s="194"/>
      <c r="P281" s="194"/>
      <c r="Q281" s="194"/>
      <c r="R281" s="47"/>
      <c r="S281" s="194"/>
      <c r="T281" s="47"/>
      <c r="U281" s="194"/>
      <c r="V281" s="47"/>
      <c r="W281" s="194"/>
      <c r="X281" s="47"/>
      <c r="Y281" s="194"/>
      <c r="Z281" s="194"/>
      <c r="AA281" s="47"/>
      <c r="AB281" s="47"/>
      <c r="AC281" s="47"/>
      <c r="AD281" s="47"/>
      <c r="AE281" s="194"/>
      <c r="AF281" s="194"/>
      <c r="AG281" s="194"/>
      <c r="AH281" s="5"/>
      <c r="AI281" s="47"/>
      <c r="AJ281" s="223"/>
      <c r="AK281" s="47"/>
      <c r="AL281" s="47"/>
      <c r="AM281" s="47"/>
      <c r="AN281" s="47"/>
      <c r="AO281" s="47"/>
      <c r="AP281" s="194"/>
      <c r="AQ281" s="47"/>
      <c r="AR281" s="47"/>
      <c r="AS281" s="47"/>
      <c r="AT281" s="194"/>
      <c r="AU281" s="194"/>
      <c r="AV281" s="194"/>
      <c r="AW281" s="194"/>
      <c r="AX281" s="194"/>
      <c r="AY281" s="194"/>
      <c r="AZ281" s="194"/>
      <c r="BA281" s="194"/>
      <c r="BB281" s="194"/>
      <c r="BC281" s="194"/>
      <c r="BD281" s="194"/>
      <c r="BE281" s="194"/>
      <c r="BF281" s="194"/>
      <c r="BG281" s="194"/>
      <c r="BH281" s="194"/>
      <c r="BI281" s="194"/>
      <c r="BJ281" s="194"/>
      <c r="BK281" s="194"/>
      <c r="BL281" s="194"/>
      <c r="BM281" s="194"/>
      <c r="BN281" s="194"/>
      <c r="BO281" s="194"/>
      <c r="BP281" s="194"/>
      <c r="BQ281" s="47"/>
      <c r="BR281" s="194"/>
      <c r="BS281" s="47"/>
      <c r="BT281" s="47"/>
      <c r="BU281" s="47"/>
      <c r="BV281" s="47"/>
      <c r="BW281" s="47"/>
      <c r="BX281" s="194"/>
      <c r="BY281" s="194"/>
      <c r="BZ281" s="194"/>
      <c r="CA281" s="194"/>
      <c r="CB281" s="194"/>
      <c r="CC281" s="47"/>
      <c r="CD281" s="47"/>
      <c r="CE281" s="47"/>
      <c r="CF281" s="47"/>
      <c r="CG281" s="47"/>
      <c r="CH281" s="47"/>
      <c r="CI281" s="47"/>
      <c r="CJ281" s="47"/>
      <c r="CK281" s="194"/>
      <c r="CL281" s="194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194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>
        <v>2.2999999999999998</v>
      </c>
      <c r="DV281" s="47"/>
      <c r="DW281" s="198"/>
      <c r="DX281" s="47"/>
      <c r="DY281" s="194"/>
      <c r="DZ281" s="47"/>
      <c r="EA281" s="47"/>
      <c r="EB281" s="194"/>
      <c r="EC281" s="47"/>
      <c r="ED281" s="195"/>
      <c r="EE281" s="195"/>
      <c r="EF281" s="195"/>
      <c r="EG281" s="195"/>
      <c r="EH281" s="195"/>
      <c r="EI281" s="196">
        <f t="shared" si="16"/>
        <v>0</v>
      </c>
      <c r="EJ281" s="201">
        <f t="shared" si="17"/>
        <v>15.875</v>
      </c>
      <c r="EK281" s="202">
        <v>14</v>
      </c>
      <c r="EL281" s="5"/>
      <c r="FA281" s="251">
        <f t="shared" si="14"/>
        <v>12.5</v>
      </c>
    </row>
    <row r="282" spans="1:157" s="1" customFormat="1" ht="20.149999999999999" customHeight="1" x14ac:dyDescent="0.35">
      <c r="A282" s="47"/>
      <c r="B282" s="373" t="s">
        <v>1017</v>
      </c>
      <c r="C282" s="380" t="s">
        <v>1394</v>
      </c>
      <c r="D282" s="373"/>
      <c r="E282" s="374" t="s">
        <v>737</v>
      </c>
      <c r="F282" s="374" t="s">
        <v>1575</v>
      </c>
      <c r="G282" s="2" t="s">
        <v>32</v>
      </c>
      <c r="H282" s="328">
        <v>77</v>
      </c>
      <c r="I282" s="47"/>
      <c r="J282" s="47"/>
      <c r="K282" s="47"/>
      <c r="L282" s="47"/>
      <c r="M282" s="47"/>
      <c r="N282" s="194"/>
      <c r="O282" s="194"/>
      <c r="P282" s="194"/>
      <c r="Q282" s="194"/>
      <c r="R282" s="47"/>
      <c r="S282" s="194"/>
      <c r="T282" s="47"/>
      <c r="U282" s="194"/>
      <c r="V282" s="47"/>
      <c r="W282" s="194"/>
      <c r="X282" s="47"/>
      <c r="Y282" s="194"/>
      <c r="Z282" s="194"/>
      <c r="AA282" s="47"/>
      <c r="AB282" s="47"/>
      <c r="AC282" s="47"/>
      <c r="AD282" s="47"/>
      <c r="AE282" s="194"/>
      <c r="AF282" s="194"/>
      <c r="AG282" s="194"/>
      <c r="AH282" s="5"/>
      <c r="AI282" s="47"/>
      <c r="AJ282" s="198"/>
      <c r="AK282" s="47"/>
      <c r="AL282" s="47"/>
      <c r="AM282" s="47"/>
      <c r="AN282" s="47"/>
      <c r="AO282" s="47"/>
      <c r="AP282" s="194"/>
      <c r="AQ282" s="47"/>
      <c r="AR282" s="47"/>
      <c r="AS282" s="47"/>
      <c r="AT282" s="194"/>
      <c r="AU282" s="194"/>
      <c r="AV282" s="194"/>
      <c r="AW282" s="194"/>
      <c r="AX282" s="194"/>
      <c r="AY282" s="194"/>
      <c r="AZ282" s="194"/>
      <c r="BA282" s="194"/>
      <c r="BB282" s="194"/>
      <c r="BC282" s="194"/>
      <c r="BD282" s="194"/>
      <c r="BE282" s="194"/>
      <c r="BF282" s="194"/>
      <c r="BG282" s="194"/>
      <c r="BH282" s="194"/>
      <c r="BI282" s="194"/>
      <c r="BJ282" s="194"/>
      <c r="BK282" s="194"/>
      <c r="BL282" s="194"/>
      <c r="BM282" s="194"/>
      <c r="BN282" s="194"/>
      <c r="BO282" s="194"/>
      <c r="BP282" s="194"/>
      <c r="BQ282" s="47"/>
      <c r="BR282" s="194"/>
      <c r="BS282" s="47"/>
      <c r="BT282" s="47"/>
      <c r="BU282" s="47"/>
      <c r="BV282" s="47"/>
      <c r="BW282" s="47"/>
      <c r="BX282" s="194"/>
      <c r="BY282" s="194"/>
      <c r="BZ282" s="194"/>
      <c r="CA282" s="194"/>
      <c r="CB282" s="194"/>
      <c r="CC282" s="47"/>
      <c r="CD282" s="47"/>
      <c r="CE282" s="47"/>
      <c r="CF282" s="47"/>
      <c r="CG282" s="47"/>
      <c r="CH282" s="47"/>
      <c r="CI282" s="47"/>
      <c r="CJ282" s="47"/>
      <c r="CK282" s="47"/>
      <c r="CL282" s="194"/>
      <c r="CM282" s="47"/>
      <c r="CN282" s="47"/>
      <c r="CO282" s="47"/>
      <c r="CP282" s="47">
        <v>88</v>
      </c>
      <c r="CQ282" s="47"/>
      <c r="CR282" s="47"/>
      <c r="CS282" s="198"/>
      <c r="CT282" s="47"/>
      <c r="CU282" s="47"/>
      <c r="CV282" s="47"/>
      <c r="CW282" s="47"/>
      <c r="CX282" s="194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198"/>
      <c r="DX282" s="47"/>
      <c r="DY282" s="194"/>
      <c r="DZ282" s="47"/>
      <c r="EA282" s="47"/>
      <c r="EB282" s="194"/>
      <c r="EC282" s="47"/>
      <c r="ED282" s="195"/>
      <c r="EE282" s="195"/>
      <c r="EF282" s="195"/>
      <c r="EG282" s="195"/>
      <c r="EH282" s="195">
        <v>10</v>
      </c>
      <c r="EI282" s="196">
        <f t="shared" si="16"/>
        <v>770</v>
      </c>
      <c r="EJ282" s="201">
        <f t="shared" si="17"/>
        <v>97.79</v>
      </c>
      <c r="EK282" s="202">
        <v>0</v>
      </c>
      <c r="EL282" s="5"/>
      <c r="FA282" s="251">
        <f t="shared" si="14"/>
        <v>77</v>
      </c>
    </row>
    <row r="283" spans="1:157" s="1" customFormat="1" ht="20.149999999999999" customHeight="1" x14ac:dyDescent="0.35">
      <c r="A283" s="47"/>
      <c r="B283" s="47" t="s">
        <v>1018</v>
      </c>
      <c r="C283" s="380" t="s">
        <v>1394</v>
      </c>
      <c r="D283" s="252" t="s">
        <v>33</v>
      </c>
      <c r="E283" s="2" t="s">
        <v>737</v>
      </c>
      <c r="F283" s="2" t="s">
        <v>69</v>
      </c>
      <c r="G283" s="2" t="s">
        <v>40</v>
      </c>
      <c r="H283" s="328">
        <f>H282/6</f>
        <v>12.833333333333334</v>
      </c>
      <c r="I283" s="47"/>
      <c r="J283" s="47"/>
      <c r="K283" s="47"/>
      <c r="L283" s="47"/>
      <c r="M283" s="47"/>
      <c r="N283" s="194"/>
      <c r="O283" s="194"/>
      <c r="P283" s="194"/>
      <c r="Q283" s="194"/>
      <c r="R283" s="47"/>
      <c r="S283" s="194"/>
      <c r="T283" s="47"/>
      <c r="U283" s="194"/>
      <c r="V283" s="47"/>
      <c r="W283" s="194"/>
      <c r="X283" s="47"/>
      <c r="Y283" s="194"/>
      <c r="Z283" s="194"/>
      <c r="AA283" s="47"/>
      <c r="AB283" s="47"/>
      <c r="AC283" s="47"/>
      <c r="AD283" s="47"/>
      <c r="AE283" s="194"/>
      <c r="AF283" s="194"/>
      <c r="AG283" s="194"/>
      <c r="AH283" s="5"/>
      <c r="AI283" s="47"/>
      <c r="AJ283" s="198"/>
      <c r="AK283" s="47"/>
      <c r="AL283" s="47"/>
      <c r="AM283" s="47"/>
      <c r="AN283" s="47"/>
      <c r="AO283" s="47"/>
      <c r="AP283" s="194"/>
      <c r="AQ283" s="47"/>
      <c r="AR283" s="47"/>
      <c r="AS283" s="47"/>
      <c r="AT283" s="194"/>
      <c r="AU283" s="194"/>
      <c r="AV283" s="194"/>
      <c r="AW283" s="194"/>
      <c r="AX283" s="194"/>
      <c r="AY283" s="194"/>
      <c r="AZ283" s="194"/>
      <c r="BA283" s="194"/>
      <c r="BB283" s="194"/>
      <c r="BC283" s="194"/>
      <c r="BD283" s="194"/>
      <c r="BE283" s="194"/>
      <c r="BF283" s="194"/>
      <c r="BG283" s="194"/>
      <c r="BH283" s="194"/>
      <c r="BI283" s="194"/>
      <c r="BJ283" s="194"/>
      <c r="BK283" s="194"/>
      <c r="BL283" s="194"/>
      <c r="BM283" s="194"/>
      <c r="BN283" s="194"/>
      <c r="BO283" s="194"/>
      <c r="BP283" s="194"/>
      <c r="BQ283" s="47"/>
      <c r="BR283" s="194"/>
      <c r="BS283" s="47"/>
      <c r="BT283" s="47"/>
      <c r="BU283" s="47"/>
      <c r="BV283" s="47"/>
      <c r="BW283" s="47"/>
      <c r="BX283" s="194"/>
      <c r="BY283" s="194"/>
      <c r="BZ283" s="194"/>
      <c r="CA283" s="194"/>
      <c r="CB283" s="194"/>
      <c r="CC283" s="47"/>
      <c r="CD283" s="47"/>
      <c r="CE283" s="47"/>
      <c r="CF283" s="47"/>
      <c r="CG283" s="47"/>
      <c r="CH283" s="47"/>
      <c r="CI283" s="47"/>
      <c r="CJ283" s="47"/>
      <c r="CK283" s="47"/>
      <c r="CL283" s="194"/>
      <c r="CM283" s="47"/>
      <c r="CN283" s="47"/>
      <c r="CO283" s="47"/>
      <c r="CP283" s="47"/>
      <c r="CQ283" s="47"/>
      <c r="CR283" s="47"/>
      <c r="CS283" s="198"/>
      <c r="CT283" s="47"/>
      <c r="CU283" s="47"/>
      <c r="CV283" s="47"/>
      <c r="CW283" s="47"/>
      <c r="CX283" s="194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198"/>
      <c r="DX283" s="47"/>
      <c r="DY283" s="194"/>
      <c r="DZ283" s="47"/>
      <c r="EA283" s="47"/>
      <c r="EB283" s="194"/>
      <c r="EC283" s="47"/>
      <c r="ED283" s="195"/>
      <c r="EE283" s="195"/>
      <c r="EF283" s="195"/>
      <c r="EG283" s="195"/>
      <c r="EH283" s="195"/>
      <c r="EI283" s="196">
        <f t="shared" si="16"/>
        <v>0</v>
      </c>
      <c r="EJ283" s="201">
        <f t="shared" si="17"/>
        <v>16.298333333333336</v>
      </c>
      <c r="EK283" s="202">
        <v>14</v>
      </c>
      <c r="EL283" s="5"/>
      <c r="FA283" s="251">
        <f t="shared" si="14"/>
        <v>12.833333333333334</v>
      </c>
    </row>
    <row r="284" spans="1:157" s="1" customFormat="1" ht="20.149999999999999" customHeight="1" x14ac:dyDescent="0.35">
      <c r="A284" s="47"/>
      <c r="B284" s="380" t="s">
        <v>1019</v>
      </c>
      <c r="C284" s="380" t="s">
        <v>1394</v>
      </c>
      <c r="D284" s="381" t="s">
        <v>770</v>
      </c>
      <c r="E284" s="382" t="s">
        <v>39</v>
      </c>
      <c r="F284" s="382" t="s">
        <v>738</v>
      </c>
      <c r="G284" s="2" t="s">
        <v>32</v>
      </c>
      <c r="H284" s="328">
        <v>86</v>
      </c>
      <c r="I284" s="47"/>
      <c r="J284" s="47"/>
      <c r="K284" s="47"/>
      <c r="L284" s="47"/>
      <c r="M284" s="47"/>
      <c r="N284" s="194"/>
      <c r="O284" s="194"/>
      <c r="P284" s="194"/>
      <c r="Q284" s="194"/>
      <c r="R284" s="47"/>
      <c r="S284" s="194"/>
      <c r="T284" s="47"/>
      <c r="U284" s="194"/>
      <c r="V284" s="47"/>
      <c r="W284" s="194"/>
      <c r="X284" s="47"/>
      <c r="Y284" s="194"/>
      <c r="Z284" s="194"/>
      <c r="AA284" s="47"/>
      <c r="AB284" s="47">
        <v>108</v>
      </c>
      <c r="AC284" s="47"/>
      <c r="AD284" s="47"/>
      <c r="AE284" s="194"/>
      <c r="AF284" s="194"/>
      <c r="AG284" s="194"/>
      <c r="AH284" s="5"/>
      <c r="AI284" s="47"/>
      <c r="AJ284" s="198"/>
      <c r="AK284" s="47"/>
      <c r="AL284" s="47"/>
      <c r="AM284" s="47"/>
      <c r="AN284" s="47"/>
      <c r="AO284" s="47"/>
      <c r="AP284" s="194"/>
      <c r="AQ284" s="47"/>
      <c r="AR284" s="47"/>
      <c r="AS284" s="47"/>
      <c r="AT284" s="194"/>
      <c r="AU284" s="194"/>
      <c r="AV284" s="194"/>
      <c r="AW284" s="194"/>
      <c r="AX284" s="194"/>
      <c r="AY284" s="194"/>
      <c r="AZ284" s="194"/>
      <c r="BA284" s="194"/>
      <c r="BB284" s="194"/>
      <c r="BC284" s="194"/>
      <c r="BD284" s="194"/>
      <c r="BE284" s="194"/>
      <c r="BF284" s="194"/>
      <c r="BG284" s="194"/>
      <c r="BH284" s="194"/>
      <c r="BI284" s="194"/>
      <c r="BJ284" s="194"/>
      <c r="BK284" s="194"/>
      <c r="BL284" s="194"/>
      <c r="BM284" s="194"/>
      <c r="BN284" s="194"/>
      <c r="BO284" s="194"/>
      <c r="BP284" s="194"/>
      <c r="BQ284" s="47"/>
      <c r="BR284" s="194"/>
      <c r="BS284" s="47"/>
      <c r="BT284" s="47"/>
      <c r="BU284" s="47"/>
      <c r="BV284" s="47"/>
      <c r="BW284" s="47"/>
      <c r="BX284" s="194"/>
      <c r="BY284" s="194"/>
      <c r="BZ284" s="194"/>
      <c r="CA284" s="194"/>
      <c r="CB284" s="194"/>
      <c r="CC284" s="47"/>
      <c r="CD284" s="47"/>
      <c r="CE284" s="47"/>
      <c r="CF284" s="47"/>
      <c r="CG284" s="47"/>
      <c r="CH284" s="47"/>
      <c r="CI284" s="47"/>
      <c r="CJ284" s="47"/>
      <c r="CK284" s="47"/>
      <c r="CL284" s="194"/>
      <c r="CM284" s="47"/>
      <c r="CN284" s="47"/>
      <c r="CO284" s="47"/>
      <c r="CP284" s="47"/>
      <c r="CQ284" s="47"/>
      <c r="CR284" s="47"/>
      <c r="CS284" s="198"/>
      <c r="CT284" s="47"/>
      <c r="CU284" s="47"/>
      <c r="CV284" s="47"/>
      <c r="CW284" s="47"/>
      <c r="CX284" s="194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198"/>
      <c r="DX284" s="47"/>
      <c r="DY284" s="194"/>
      <c r="DZ284" s="47"/>
      <c r="EA284" s="47"/>
      <c r="EB284" s="194"/>
      <c r="EC284" s="47"/>
      <c r="ED284" s="195"/>
      <c r="EE284" s="195"/>
      <c r="EF284" s="195"/>
      <c r="EG284" s="195"/>
      <c r="EH284" s="195">
        <v>27</v>
      </c>
      <c r="EI284" s="196">
        <f t="shared" si="16"/>
        <v>2322</v>
      </c>
      <c r="EJ284" s="201">
        <f t="shared" si="17"/>
        <v>109.22</v>
      </c>
      <c r="EK284" s="202">
        <v>0</v>
      </c>
      <c r="EL284" s="5"/>
      <c r="FA284" s="251">
        <f t="shared" si="14"/>
        <v>86</v>
      </c>
    </row>
    <row r="285" spans="1:157" s="1" customFormat="1" ht="20.149999999999999" customHeight="1" x14ac:dyDescent="0.35">
      <c r="A285" s="2"/>
      <c r="B285" s="47" t="s">
        <v>1020</v>
      </c>
      <c r="C285" s="380" t="s">
        <v>1394</v>
      </c>
      <c r="D285" s="252" t="s">
        <v>770</v>
      </c>
      <c r="E285" s="2" t="s">
        <v>39</v>
      </c>
      <c r="F285" s="2" t="s">
        <v>69</v>
      </c>
      <c r="G285" s="375" t="s">
        <v>40</v>
      </c>
      <c r="H285" s="328">
        <f>H284/6</f>
        <v>14.333333333333334</v>
      </c>
      <c r="I285" s="47"/>
      <c r="J285" s="47"/>
      <c r="K285" s="47"/>
      <c r="L285" s="47">
        <v>19</v>
      </c>
      <c r="M285" s="47">
        <v>19</v>
      </c>
      <c r="N285" s="194"/>
      <c r="O285" s="194"/>
      <c r="P285" s="194"/>
      <c r="Q285" s="194">
        <v>18</v>
      </c>
      <c r="R285" s="47"/>
      <c r="S285" s="194">
        <v>18.5</v>
      </c>
      <c r="T285" s="47"/>
      <c r="U285" s="194"/>
      <c r="V285" s="47"/>
      <c r="W285" s="194"/>
      <c r="X285" s="47">
        <v>18.5</v>
      </c>
      <c r="Y285" s="194"/>
      <c r="Z285" s="194"/>
      <c r="AA285" s="47"/>
      <c r="AB285" s="47">
        <v>19</v>
      </c>
      <c r="AC285" s="47"/>
      <c r="AD285" s="47"/>
      <c r="AE285" s="194"/>
      <c r="AF285" s="194">
        <v>19</v>
      </c>
      <c r="AG285" s="194"/>
      <c r="AH285" s="5"/>
      <c r="AI285" s="47"/>
      <c r="AJ285" s="223"/>
      <c r="AK285" s="47"/>
      <c r="AL285" s="47">
        <v>19</v>
      </c>
      <c r="AM285" s="47"/>
      <c r="AN285" s="47"/>
      <c r="AO285" s="47"/>
      <c r="AP285" s="194">
        <v>19</v>
      </c>
      <c r="AQ285" s="47"/>
      <c r="AR285" s="47">
        <v>19</v>
      </c>
      <c r="AS285" s="47">
        <v>19</v>
      </c>
      <c r="AT285" s="194"/>
      <c r="AU285" s="194"/>
      <c r="AV285" s="194"/>
      <c r="AW285" s="194"/>
      <c r="AX285" s="194"/>
      <c r="AY285" s="194">
        <v>19</v>
      </c>
      <c r="AZ285" s="194"/>
      <c r="BA285" s="194"/>
      <c r="BB285" s="194"/>
      <c r="BC285" s="194"/>
      <c r="BD285" s="194"/>
      <c r="BE285" s="194"/>
      <c r="BF285" s="194"/>
      <c r="BG285" s="194"/>
      <c r="BH285" s="194"/>
      <c r="BI285" s="194"/>
      <c r="BJ285" s="194"/>
      <c r="BK285" s="194"/>
      <c r="BL285" s="194"/>
      <c r="BM285" s="194">
        <v>18.5</v>
      </c>
      <c r="BN285" s="194"/>
      <c r="BO285" s="194"/>
      <c r="BP285" s="194"/>
      <c r="BQ285" s="47"/>
      <c r="BR285" s="194"/>
      <c r="BS285" s="47"/>
      <c r="BT285" s="47">
        <v>19</v>
      </c>
      <c r="BU285" s="47"/>
      <c r="BV285" s="47"/>
      <c r="BW285" s="47"/>
      <c r="BX285" s="194">
        <v>19</v>
      </c>
      <c r="BY285" s="194"/>
      <c r="BZ285" s="194">
        <v>19</v>
      </c>
      <c r="CA285" s="194"/>
      <c r="CB285" s="194"/>
      <c r="CC285" s="47">
        <v>19</v>
      </c>
      <c r="CD285" s="47"/>
      <c r="CE285" s="47"/>
      <c r="CF285" s="47"/>
      <c r="CG285" s="47">
        <v>19</v>
      </c>
      <c r="CH285" s="47"/>
      <c r="CI285" s="47">
        <v>19</v>
      </c>
      <c r="CJ285" s="47"/>
      <c r="CK285" s="224"/>
      <c r="CL285" s="194">
        <v>19</v>
      </c>
      <c r="CM285" s="47"/>
      <c r="CN285" s="47"/>
      <c r="CO285" s="47">
        <v>19</v>
      </c>
      <c r="CP285" s="47">
        <v>19</v>
      </c>
      <c r="CQ285" s="47">
        <v>18</v>
      </c>
      <c r="CR285" s="47"/>
      <c r="CS285" s="47">
        <v>18</v>
      </c>
      <c r="CT285" s="47"/>
      <c r="CU285" s="47"/>
      <c r="CV285" s="47">
        <v>19</v>
      </c>
      <c r="CW285" s="47"/>
      <c r="CX285" s="194">
        <v>19</v>
      </c>
      <c r="CY285" s="47"/>
      <c r="CZ285" s="47"/>
      <c r="DA285" s="47"/>
      <c r="DB285" s="47"/>
      <c r="DC285" s="47"/>
      <c r="DD285" s="47"/>
      <c r="DE285" s="47"/>
      <c r="DF285" s="47"/>
      <c r="DG285" s="47"/>
      <c r="DH285" s="47">
        <v>19</v>
      </c>
      <c r="DI285" s="47"/>
      <c r="DJ285" s="47">
        <v>19</v>
      </c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>
        <v>19</v>
      </c>
      <c r="DW285" s="198"/>
      <c r="DX285" s="47"/>
      <c r="DY285" s="194"/>
      <c r="DZ285" s="47"/>
      <c r="EA285" s="47"/>
      <c r="EB285" s="194"/>
      <c r="EC285" s="47"/>
      <c r="ED285" s="195"/>
      <c r="EE285" s="195"/>
      <c r="EF285" s="195"/>
      <c r="EG285" s="195"/>
      <c r="EH285" s="195">
        <v>2</v>
      </c>
      <c r="EI285" s="196">
        <f t="shared" si="16"/>
        <v>28.666666666666668</v>
      </c>
      <c r="EJ285" s="201">
        <f t="shared" si="17"/>
        <v>18.203333333333333</v>
      </c>
      <c r="EK285" s="202">
        <v>18</v>
      </c>
      <c r="EL285" s="5"/>
      <c r="FA285" s="251">
        <f t="shared" ref="FA285:FA349" si="18">H285</f>
        <v>14.333333333333334</v>
      </c>
    </row>
    <row r="286" spans="1:157" s="1" customFormat="1" ht="20.149999999999999" customHeight="1" x14ac:dyDescent="0.35">
      <c r="A286" s="2"/>
      <c r="B286" s="383" t="s">
        <v>1021</v>
      </c>
      <c r="C286" s="47" t="s">
        <v>1505</v>
      </c>
      <c r="D286" s="384" t="s">
        <v>770</v>
      </c>
      <c r="E286" s="385" t="s">
        <v>39</v>
      </c>
      <c r="F286" s="385" t="s">
        <v>738</v>
      </c>
      <c r="G286" s="2" t="s">
        <v>32</v>
      </c>
      <c r="H286" s="328">
        <v>41.5</v>
      </c>
      <c r="I286" s="47"/>
      <c r="J286" s="47"/>
      <c r="K286" s="47"/>
      <c r="L286" s="47"/>
      <c r="M286" s="47"/>
      <c r="N286" s="194"/>
      <c r="O286" s="194"/>
      <c r="P286" s="194"/>
      <c r="Q286" s="194"/>
      <c r="R286" s="47"/>
      <c r="S286" s="194"/>
      <c r="T286" s="47"/>
      <c r="U286" s="194"/>
      <c r="V286" s="47"/>
      <c r="W286" s="194"/>
      <c r="X286" s="47"/>
      <c r="Y286" s="194"/>
      <c r="Z286" s="194"/>
      <c r="AA286" s="47"/>
      <c r="AB286" s="47"/>
      <c r="AC286" s="47"/>
      <c r="AD286" s="47"/>
      <c r="AE286" s="194"/>
      <c r="AF286" s="194"/>
      <c r="AG286" s="194"/>
      <c r="AH286" s="5"/>
      <c r="AI286" s="47"/>
      <c r="AJ286" s="223"/>
      <c r="AK286" s="47"/>
      <c r="AL286" s="47"/>
      <c r="AM286" s="47"/>
      <c r="AN286" s="47"/>
      <c r="AO286" s="47"/>
      <c r="AP286" s="194"/>
      <c r="AQ286" s="47"/>
      <c r="AR286" s="47"/>
      <c r="AS286" s="47"/>
      <c r="AT286" s="194"/>
      <c r="AU286" s="194"/>
      <c r="AV286" s="194"/>
      <c r="AW286" s="194"/>
      <c r="AX286" s="194"/>
      <c r="AY286" s="194"/>
      <c r="AZ286" s="194"/>
      <c r="BA286" s="194"/>
      <c r="BB286" s="194"/>
      <c r="BC286" s="194"/>
      <c r="BD286" s="194"/>
      <c r="BE286" s="194"/>
      <c r="BF286" s="194"/>
      <c r="BG286" s="194"/>
      <c r="BH286" s="194"/>
      <c r="BI286" s="194"/>
      <c r="BJ286" s="194"/>
      <c r="BK286" s="194"/>
      <c r="BL286" s="194"/>
      <c r="BM286" s="194"/>
      <c r="BN286" s="194"/>
      <c r="BO286" s="194"/>
      <c r="BP286" s="194"/>
      <c r="BQ286" s="47"/>
      <c r="BR286" s="194"/>
      <c r="BS286" s="47"/>
      <c r="BT286" s="47"/>
      <c r="BU286" s="47"/>
      <c r="BV286" s="47"/>
      <c r="BW286" s="47"/>
      <c r="BX286" s="194"/>
      <c r="BY286" s="194"/>
      <c r="BZ286" s="194"/>
      <c r="CA286" s="194"/>
      <c r="CB286" s="194"/>
      <c r="CC286" s="47"/>
      <c r="CD286" s="47"/>
      <c r="CE286" s="47"/>
      <c r="CF286" s="47"/>
      <c r="CG286" s="47"/>
      <c r="CH286" s="47"/>
      <c r="CI286" s="47"/>
      <c r="CJ286" s="47"/>
      <c r="CK286" s="224"/>
      <c r="CL286" s="194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194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198"/>
      <c r="DX286" s="47"/>
      <c r="DY286" s="194"/>
      <c r="DZ286" s="47"/>
      <c r="EA286" s="47"/>
      <c r="EB286" s="194"/>
      <c r="EC286" s="47"/>
      <c r="ED286" s="195"/>
      <c r="EE286" s="195"/>
      <c r="EF286" s="195"/>
      <c r="EG286" s="195"/>
      <c r="EH286" s="195">
        <v>12</v>
      </c>
      <c r="EI286" s="196">
        <f t="shared" si="16"/>
        <v>498</v>
      </c>
      <c r="EJ286" s="201">
        <f t="shared" si="17"/>
        <v>52.704999999999998</v>
      </c>
      <c r="EK286" s="202">
        <v>0</v>
      </c>
      <c r="EL286" s="5"/>
      <c r="FA286" s="251">
        <f t="shared" si="18"/>
        <v>41.5</v>
      </c>
    </row>
    <row r="287" spans="1:157" s="1" customFormat="1" ht="20.149999999999999" customHeight="1" x14ac:dyDescent="0.35">
      <c r="A287" s="2"/>
      <c r="B287" s="47" t="s">
        <v>1022</v>
      </c>
      <c r="C287" s="47" t="s">
        <v>1505</v>
      </c>
      <c r="D287" s="252" t="s">
        <v>770</v>
      </c>
      <c r="E287" s="2" t="s">
        <v>39</v>
      </c>
      <c r="F287" s="2" t="s">
        <v>69</v>
      </c>
      <c r="G287" s="375" t="s">
        <v>40</v>
      </c>
      <c r="H287" s="328">
        <f>H286/6</f>
        <v>6.916666666666667</v>
      </c>
      <c r="I287" s="47"/>
      <c r="J287" s="47"/>
      <c r="K287" s="47"/>
      <c r="L287" s="47">
        <v>9.5</v>
      </c>
      <c r="M287" s="47"/>
      <c r="N287" s="194"/>
      <c r="O287" s="194"/>
      <c r="P287" s="194"/>
      <c r="Q287" s="194">
        <v>8.5</v>
      </c>
      <c r="R287" s="47"/>
      <c r="S287" s="194"/>
      <c r="T287" s="47"/>
      <c r="U287" s="194"/>
      <c r="V287" s="47"/>
      <c r="W287" s="194"/>
      <c r="X287" s="47">
        <v>9.5</v>
      </c>
      <c r="Y287" s="194"/>
      <c r="Z287" s="194"/>
      <c r="AA287" s="47"/>
      <c r="AB287" s="47">
        <v>9.5</v>
      </c>
      <c r="AC287" s="47">
        <v>9.5</v>
      </c>
      <c r="AD287" s="47"/>
      <c r="AE287" s="194"/>
      <c r="AF287" s="194"/>
      <c r="AG287" s="194"/>
      <c r="AH287" s="5"/>
      <c r="AI287" s="47"/>
      <c r="AJ287" s="223"/>
      <c r="AK287" s="47"/>
      <c r="AL287" s="47">
        <v>9.5</v>
      </c>
      <c r="AM287" s="47"/>
      <c r="AN287" s="47"/>
      <c r="AO287" s="47"/>
      <c r="AP287" s="194"/>
      <c r="AQ287" s="47"/>
      <c r="AR287" s="47">
        <v>9.8000000000000007</v>
      </c>
      <c r="AS287" s="47">
        <v>9.8000000000000007</v>
      </c>
      <c r="AT287" s="194"/>
      <c r="AU287" s="194"/>
      <c r="AV287" s="194"/>
      <c r="AW287" s="194"/>
      <c r="AX287" s="194"/>
      <c r="AY287" s="194"/>
      <c r="AZ287" s="194"/>
      <c r="BA287" s="194"/>
      <c r="BB287" s="194"/>
      <c r="BC287" s="194"/>
      <c r="BD287" s="194"/>
      <c r="BE287" s="194"/>
      <c r="BF287" s="194"/>
      <c r="BG287" s="194"/>
      <c r="BH287" s="194"/>
      <c r="BI287" s="194"/>
      <c r="BJ287" s="194"/>
      <c r="BK287" s="194"/>
      <c r="BL287" s="194"/>
      <c r="BM287" s="194">
        <v>9</v>
      </c>
      <c r="BN287" s="194"/>
      <c r="BO287" s="194"/>
      <c r="BP287" s="194"/>
      <c r="BQ287" s="47"/>
      <c r="BR287" s="194"/>
      <c r="BS287" s="47"/>
      <c r="BT287" s="47"/>
      <c r="BU287" s="47"/>
      <c r="BV287" s="47"/>
      <c r="BW287" s="47"/>
      <c r="BX287" s="194"/>
      <c r="BY287" s="194"/>
      <c r="BZ287" s="194">
        <v>9.5</v>
      </c>
      <c r="CA287" s="194"/>
      <c r="CB287" s="194"/>
      <c r="CC287" s="47"/>
      <c r="CD287" s="47"/>
      <c r="CE287" s="47"/>
      <c r="CF287" s="47"/>
      <c r="CG287" s="47"/>
      <c r="CH287" s="47"/>
      <c r="CI287" s="47"/>
      <c r="CJ287" s="47"/>
      <c r="CK287" s="194"/>
      <c r="CL287" s="194">
        <v>9.5</v>
      </c>
      <c r="CM287" s="47"/>
      <c r="CN287" s="47"/>
      <c r="CO287" s="47">
        <v>9.5</v>
      </c>
      <c r="CP287" s="47">
        <v>9.5</v>
      </c>
      <c r="CQ287" s="47">
        <v>8.5</v>
      </c>
      <c r="CR287" s="47"/>
      <c r="CS287" s="198"/>
      <c r="CT287" s="47"/>
      <c r="CU287" s="47"/>
      <c r="CV287" s="47">
        <v>9.5</v>
      </c>
      <c r="CW287" s="47"/>
      <c r="CX287" s="194">
        <v>9.5</v>
      </c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198"/>
      <c r="DX287" s="47"/>
      <c r="DY287" s="194"/>
      <c r="DZ287" s="47"/>
      <c r="EA287" s="47"/>
      <c r="EB287" s="194"/>
      <c r="EC287" s="47"/>
      <c r="ED287" s="195"/>
      <c r="EE287" s="195"/>
      <c r="EF287" s="195"/>
      <c r="EG287" s="195"/>
      <c r="EH287" s="195">
        <v>2</v>
      </c>
      <c r="EI287" s="196">
        <f t="shared" si="16"/>
        <v>13.833333333333334</v>
      </c>
      <c r="EJ287" s="201">
        <f t="shared" si="17"/>
        <v>8.7841666666666676</v>
      </c>
      <c r="EK287" s="202">
        <v>9.5</v>
      </c>
      <c r="EL287" s="5"/>
      <c r="FA287" s="251">
        <f t="shared" si="18"/>
        <v>6.916666666666667</v>
      </c>
    </row>
    <row r="288" spans="1:157" s="1" customFormat="1" ht="20.149999999999999" customHeight="1" x14ac:dyDescent="0.35">
      <c r="A288" s="2"/>
      <c r="B288" s="47" t="s">
        <v>1576</v>
      </c>
      <c r="C288" s="47" t="s">
        <v>1505</v>
      </c>
      <c r="D288" s="252" t="s">
        <v>770</v>
      </c>
      <c r="E288" s="2" t="s">
        <v>39</v>
      </c>
      <c r="F288" s="2" t="s">
        <v>69</v>
      </c>
      <c r="G288" s="375" t="s">
        <v>40</v>
      </c>
      <c r="H288" s="328">
        <f>H286/6</f>
        <v>6.916666666666667</v>
      </c>
      <c r="I288" s="47"/>
      <c r="J288" s="47"/>
      <c r="K288" s="47"/>
      <c r="L288" s="47"/>
      <c r="M288" s="47"/>
      <c r="N288" s="194"/>
      <c r="O288" s="194"/>
      <c r="P288" s="194"/>
      <c r="Q288" s="194"/>
      <c r="R288" s="47"/>
      <c r="S288" s="194"/>
      <c r="T288" s="47"/>
      <c r="U288" s="194"/>
      <c r="V288" s="47"/>
      <c r="W288" s="194"/>
      <c r="X288" s="47"/>
      <c r="Y288" s="194"/>
      <c r="Z288" s="194"/>
      <c r="AA288" s="47"/>
      <c r="AB288" s="47"/>
      <c r="AC288" s="47"/>
      <c r="AD288" s="47"/>
      <c r="AE288" s="194"/>
      <c r="AF288" s="194"/>
      <c r="AG288" s="194"/>
      <c r="AH288" s="5"/>
      <c r="AI288" s="47"/>
      <c r="AJ288" s="223"/>
      <c r="AK288" s="47"/>
      <c r="AL288" s="47"/>
      <c r="AM288" s="47"/>
      <c r="AN288" s="47"/>
      <c r="AO288" s="47"/>
      <c r="AP288" s="194"/>
      <c r="AQ288" s="47"/>
      <c r="AR288" s="47"/>
      <c r="AS288" s="47"/>
      <c r="AT288" s="194"/>
      <c r="AU288" s="194"/>
      <c r="AV288" s="194"/>
      <c r="AW288" s="194"/>
      <c r="AX288" s="194"/>
      <c r="AY288" s="194"/>
      <c r="AZ288" s="194"/>
      <c r="BA288" s="194"/>
      <c r="BB288" s="194"/>
      <c r="BC288" s="194"/>
      <c r="BD288" s="194"/>
      <c r="BE288" s="194"/>
      <c r="BF288" s="194"/>
      <c r="BG288" s="194"/>
      <c r="BH288" s="194"/>
      <c r="BI288" s="194"/>
      <c r="BJ288" s="194"/>
      <c r="BK288" s="194"/>
      <c r="BL288" s="194"/>
      <c r="BM288" s="194"/>
      <c r="BN288" s="194"/>
      <c r="BO288" s="194"/>
      <c r="BP288" s="194"/>
      <c r="BQ288" s="47"/>
      <c r="BR288" s="194"/>
      <c r="BS288" s="47"/>
      <c r="BT288" s="47"/>
      <c r="BU288" s="47"/>
      <c r="BV288" s="47"/>
      <c r="BW288" s="47"/>
      <c r="BX288" s="194"/>
      <c r="BY288" s="194"/>
      <c r="BZ288" s="194"/>
      <c r="CA288" s="194"/>
      <c r="CB288" s="194"/>
      <c r="CC288" s="47"/>
      <c r="CD288" s="47"/>
      <c r="CE288" s="47"/>
      <c r="CF288" s="47"/>
      <c r="CG288" s="47"/>
      <c r="CH288" s="47"/>
      <c r="CI288" s="47"/>
      <c r="CJ288" s="47"/>
      <c r="CK288" s="194"/>
      <c r="CL288" s="194"/>
      <c r="CM288" s="47"/>
      <c r="CN288" s="47"/>
      <c r="CO288" s="47"/>
      <c r="CP288" s="47"/>
      <c r="CQ288" s="47"/>
      <c r="CR288" s="47"/>
      <c r="CS288" s="198"/>
      <c r="CT288" s="47"/>
      <c r="CU288" s="47"/>
      <c r="CV288" s="47"/>
      <c r="CW288" s="47"/>
      <c r="CX288" s="194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198"/>
      <c r="DX288" s="47"/>
      <c r="DY288" s="194"/>
      <c r="DZ288" s="47"/>
      <c r="EA288" s="47"/>
      <c r="EB288" s="194"/>
      <c r="EC288" s="47"/>
      <c r="ED288" s="195"/>
      <c r="EE288" s="195"/>
      <c r="EF288" s="195"/>
      <c r="EG288" s="195"/>
      <c r="EH288" s="195"/>
      <c r="EI288" s="196"/>
      <c r="EJ288" s="201"/>
      <c r="EK288" s="202"/>
      <c r="EL288" s="5"/>
      <c r="FA288" s="251"/>
    </row>
    <row r="289" spans="1:157" s="1" customFormat="1" ht="20.149999999999999" customHeight="1" x14ac:dyDescent="0.35">
      <c r="A289" s="2"/>
      <c r="B289" s="383" t="s">
        <v>1023</v>
      </c>
      <c r="C289" s="47" t="s">
        <v>1577</v>
      </c>
      <c r="D289" s="384" t="s">
        <v>770</v>
      </c>
      <c r="E289" s="385" t="s">
        <v>39</v>
      </c>
      <c r="F289" s="385" t="s">
        <v>738</v>
      </c>
      <c r="G289" s="2" t="s">
        <v>32</v>
      </c>
      <c r="H289" s="328">
        <v>46</v>
      </c>
      <c r="I289" s="47"/>
      <c r="J289" s="47"/>
      <c r="K289" s="47"/>
      <c r="L289" s="47"/>
      <c r="M289" s="47"/>
      <c r="N289" s="194"/>
      <c r="O289" s="194"/>
      <c r="P289" s="194"/>
      <c r="Q289" s="194"/>
      <c r="R289" s="47"/>
      <c r="S289" s="194"/>
      <c r="T289" s="47"/>
      <c r="U289" s="194"/>
      <c r="V289" s="47"/>
      <c r="W289" s="194"/>
      <c r="X289" s="47"/>
      <c r="Y289" s="194"/>
      <c r="Z289" s="194"/>
      <c r="AA289" s="47"/>
      <c r="AB289" s="47"/>
      <c r="AC289" s="47"/>
      <c r="AD289" s="47"/>
      <c r="AE289" s="194"/>
      <c r="AF289" s="194"/>
      <c r="AG289" s="194"/>
      <c r="AH289" s="5"/>
      <c r="AI289" s="47"/>
      <c r="AJ289" s="223"/>
      <c r="AK289" s="47"/>
      <c r="AL289" s="47"/>
      <c r="AM289" s="47"/>
      <c r="AN289" s="47"/>
      <c r="AO289" s="47"/>
      <c r="AP289" s="194"/>
      <c r="AQ289" s="47"/>
      <c r="AR289" s="47"/>
      <c r="AS289" s="47"/>
      <c r="AT289" s="194"/>
      <c r="AU289" s="194"/>
      <c r="AV289" s="194"/>
      <c r="AW289" s="194"/>
      <c r="AX289" s="194"/>
      <c r="AY289" s="194"/>
      <c r="AZ289" s="194"/>
      <c r="BA289" s="194"/>
      <c r="BB289" s="194"/>
      <c r="BC289" s="194"/>
      <c r="BD289" s="194"/>
      <c r="BE289" s="194"/>
      <c r="BF289" s="194"/>
      <c r="BG289" s="194"/>
      <c r="BH289" s="194"/>
      <c r="BI289" s="194"/>
      <c r="BJ289" s="194"/>
      <c r="BK289" s="194"/>
      <c r="BL289" s="194"/>
      <c r="BM289" s="194"/>
      <c r="BN289" s="194"/>
      <c r="BO289" s="194"/>
      <c r="BP289" s="194"/>
      <c r="BQ289" s="47"/>
      <c r="BR289" s="194"/>
      <c r="BS289" s="47"/>
      <c r="BT289" s="47"/>
      <c r="BU289" s="47"/>
      <c r="BV289" s="47"/>
      <c r="BW289" s="47"/>
      <c r="BX289" s="194"/>
      <c r="BY289" s="194"/>
      <c r="BZ289" s="194"/>
      <c r="CA289" s="194"/>
      <c r="CB289" s="194"/>
      <c r="CC289" s="47"/>
      <c r="CD289" s="47"/>
      <c r="CE289" s="47"/>
      <c r="CF289" s="47"/>
      <c r="CG289" s="47"/>
      <c r="CH289" s="47"/>
      <c r="CI289" s="47"/>
      <c r="CJ289" s="47"/>
      <c r="CK289" s="194"/>
      <c r="CL289" s="194"/>
      <c r="CM289" s="47"/>
      <c r="CN289" s="47"/>
      <c r="CO289" s="47"/>
      <c r="CP289" s="47"/>
      <c r="CQ289" s="47"/>
      <c r="CR289" s="47"/>
      <c r="CS289" s="198"/>
      <c r="CT289" s="47"/>
      <c r="CU289" s="47"/>
      <c r="CV289" s="47"/>
      <c r="CW289" s="47"/>
      <c r="CX289" s="194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198"/>
      <c r="DX289" s="47"/>
      <c r="DY289" s="194"/>
      <c r="DZ289" s="47"/>
      <c r="EA289" s="47"/>
      <c r="EB289" s="194"/>
      <c r="EC289" s="47"/>
      <c r="ED289" s="195"/>
      <c r="EE289" s="195"/>
      <c r="EF289" s="195"/>
      <c r="EG289" s="195"/>
      <c r="EH289" s="195">
        <v>11</v>
      </c>
      <c r="EI289" s="196">
        <f t="shared" si="16"/>
        <v>506</v>
      </c>
      <c r="EJ289" s="201">
        <f t="shared" si="17"/>
        <v>58.42</v>
      </c>
      <c r="EK289" s="202">
        <v>0</v>
      </c>
      <c r="EL289" s="5"/>
      <c r="FA289" s="251">
        <f t="shared" si="18"/>
        <v>46</v>
      </c>
    </row>
    <row r="290" spans="1:157" s="1" customFormat="1" ht="20.149999999999999" customHeight="1" x14ac:dyDescent="0.35">
      <c r="A290" s="2"/>
      <c r="B290" s="47" t="s">
        <v>1024</v>
      </c>
      <c r="C290" s="47" t="s">
        <v>1577</v>
      </c>
      <c r="D290" s="252" t="s">
        <v>770</v>
      </c>
      <c r="E290" s="2" t="s">
        <v>39</v>
      </c>
      <c r="F290" s="2" t="s">
        <v>69</v>
      </c>
      <c r="G290" s="375" t="s">
        <v>40</v>
      </c>
      <c r="H290" s="328">
        <f>H289/6</f>
        <v>7.666666666666667</v>
      </c>
      <c r="I290" s="47"/>
      <c r="J290" s="47"/>
      <c r="K290" s="47"/>
      <c r="L290" s="47"/>
      <c r="M290" s="47"/>
      <c r="N290" s="194"/>
      <c r="O290" s="194"/>
      <c r="P290" s="194"/>
      <c r="Q290" s="194"/>
      <c r="R290" s="47"/>
      <c r="S290" s="194"/>
      <c r="T290" s="47"/>
      <c r="U290" s="194"/>
      <c r="V290" s="47">
        <v>10.5</v>
      </c>
      <c r="W290" s="194"/>
      <c r="X290" s="47"/>
      <c r="Y290" s="194"/>
      <c r="Z290" s="194"/>
      <c r="AA290" s="47"/>
      <c r="AB290" s="47"/>
      <c r="AC290" s="47">
        <v>9.5</v>
      </c>
      <c r="AD290" s="47"/>
      <c r="AE290" s="194">
        <v>10.5</v>
      </c>
      <c r="AF290" s="194"/>
      <c r="AG290" s="194"/>
      <c r="AH290" s="5"/>
      <c r="AI290" s="47"/>
      <c r="AJ290" s="223"/>
      <c r="AK290" s="47"/>
      <c r="AL290" s="47"/>
      <c r="AM290" s="47"/>
      <c r="AN290" s="47"/>
      <c r="AO290" s="47"/>
      <c r="AP290" s="194"/>
      <c r="AQ290" s="47"/>
      <c r="AR290" s="47"/>
      <c r="AS290" s="47"/>
      <c r="AT290" s="194"/>
      <c r="AU290" s="194"/>
      <c r="AV290" s="194"/>
      <c r="AW290" s="194"/>
      <c r="AX290" s="194"/>
      <c r="AY290" s="194"/>
      <c r="AZ290" s="194"/>
      <c r="BA290" s="194"/>
      <c r="BB290" s="194"/>
      <c r="BC290" s="194"/>
      <c r="BD290" s="194"/>
      <c r="BE290" s="194"/>
      <c r="BF290" s="194"/>
      <c r="BG290" s="194"/>
      <c r="BH290" s="194"/>
      <c r="BI290" s="194"/>
      <c r="BJ290" s="194"/>
      <c r="BK290" s="194"/>
      <c r="BL290" s="194"/>
      <c r="BM290" s="194"/>
      <c r="BN290" s="194"/>
      <c r="BO290" s="194"/>
      <c r="BP290" s="194">
        <v>10.5</v>
      </c>
      <c r="BQ290" s="47"/>
      <c r="BR290" s="194"/>
      <c r="BS290" s="47"/>
      <c r="BT290" s="47"/>
      <c r="BU290" s="47"/>
      <c r="BV290" s="47"/>
      <c r="BW290" s="47"/>
      <c r="BX290" s="194"/>
      <c r="BY290" s="194"/>
      <c r="BZ290" s="194"/>
      <c r="CA290" s="194"/>
      <c r="CB290" s="194"/>
      <c r="CC290" s="47"/>
      <c r="CD290" s="47"/>
      <c r="CE290" s="47"/>
      <c r="CF290" s="47"/>
      <c r="CG290" s="47"/>
      <c r="CH290" s="47"/>
      <c r="CI290" s="47">
        <v>10.5</v>
      </c>
      <c r="CJ290" s="47"/>
      <c r="CK290" s="194">
        <v>10</v>
      </c>
      <c r="CL290" s="194"/>
      <c r="CM290" s="47"/>
      <c r="CN290" s="47"/>
      <c r="CO290" s="47"/>
      <c r="CP290" s="47"/>
      <c r="CQ290" s="47"/>
      <c r="CR290" s="47"/>
      <c r="CS290" s="198">
        <v>10</v>
      </c>
      <c r="CT290" s="47"/>
      <c r="CU290" s="47"/>
      <c r="CV290" s="47"/>
      <c r="CW290" s="47"/>
      <c r="CX290" s="194"/>
      <c r="CY290" s="47"/>
      <c r="CZ290" s="47"/>
      <c r="DA290" s="47"/>
      <c r="DB290" s="47"/>
      <c r="DC290" s="47"/>
      <c r="DD290" s="47"/>
      <c r="DE290" s="47">
        <v>10.5</v>
      </c>
      <c r="DF290" s="47"/>
      <c r="DG290" s="47"/>
      <c r="DH290" s="47"/>
      <c r="DI290" s="47"/>
      <c r="DJ290" s="47"/>
      <c r="DK290" s="47"/>
      <c r="DL290" s="47">
        <f>54/6</f>
        <v>9</v>
      </c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198"/>
      <c r="DX290" s="47"/>
      <c r="DY290" s="194"/>
      <c r="DZ290" s="47"/>
      <c r="EA290" s="47"/>
      <c r="EB290" s="194"/>
      <c r="EC290" s="47"/>
      <c r="ED290" s="195"/>
      <c r="EE290" s="195"/>
      <c r="EF290" s="195"/>
      <c r="EG290" s="195"/>
      <c r="EH290" s="195">
        <v>4</v>
      </c>
      <c r="EI290" s="196">
        <f t="shared" si="16"/>
        <v>30.666666666666668</v>
      </c>
      <c r="EJ290" s="201">
        <f t="shared" si="17"/>
        <v>9.7366666666666664</v>
      </c>
      <c r="EK290" s="202">
        <v>10</v>
      </c>
      <c r="EL290" s="5"/>
      <c r="FA290" s="251">
        <f t="shared" si="18"/>
        <v>7.666666666666667</v>
      </c>
    </row>
    <row r="291" spans="1:157" s="1" customFormat="1" ht="20.149999999999999" customHeight="1" x14ac:dyDescent="0.35">
      <c r="A291" s="2"/>
      <c r="B291" s="383" t="s">
        <v>1025</v>
      </c>
      <c r="C291" s="47" t="s">
        <v>1578</v>
      </c>
      <c r="D291" s="384" t="s">
        <v>770</v>
      </c>
      <c r="E291" s="385" t="s">
        <v>39</v>
      </c>
      <c r="F291" s="385" t="s">
        <v>738</v>
      </c>
      <c r="G291" s="2" t="s">
        <v>32</v>
      </c>
      <c r="H291" s="328">
        <v>42</v>
      </c>
      <c r="I291" s="47"/>
      <c r="J291" s="47"/>
      <c r="K291" s="47"/>
      <c r="L291" s="47"/>
      <c r="M291" s="47"/>
      <c r="N291" s="194"/>
      <c r="O291" s="194"/>
      <c r="P291" s="194"/>
      <c r="Q291" s="194"/>
      <c r="R291" s="47"/>
      <c r="S291" s="194"/>
      <c r="T291" s="47"/>
      <c r="U291" s="194"/>
      <c r="V291" s="47"/>
      <c r="W291" s="194"/>
      <c r="X291" s="47"/>
      <c r="Y291" s="194"/>
      <c r="Z291" s="194"/>
      <c r="AA291" s="47"/>
      <c r="AB291" s="47"/>
      <c r="AC291" s="47"/>
      <c r="AD291" s="47"/>
      <c r="AE291" s="194"/>
      <c r="AF291" s="194"/>
      <c r="AG291" s="194"/>
      <c r="AH291" s="5"/>
      <c r="AI291" s="47"/>
      <c r="AJ291" s="223"/>
      <c r="AK291" s="47"/>
      <c r="AL291" s="47"/>
      <c r="AM291" s="47"/>
      <c r="AN291" s="47"/>
      <c r="AO291" s="47"/>
      <c r="AP291" s="194"/>
      <c r="AQ291" s="47"/>
      <c r="AR291" s="47"/>
      <c r="AS291" s="47"/>
      <c r="AT291" s="194"/>
      <c r="AU291" s="194"/>
      <c r="AV291" s="194"/>
      <c r="AW291" s="194"/>
      <c r="AX291" s="194"/>
      <c r="AY291" s="194"/>
      <c r="AZ291" s="194"/>
      <c r="BA291" s="194"/>
      <c r="BB291" s="194"/>
      <c r="BC291" s="194"/>
      <c r="BD291" s="194"/>
      <c r="BE291" s="194"/>
      <c r="BF291" s="194"/>
      <c r="BG291" s="194"/>
      <c r="BH291" s="194"/>
      <c r="BI291" s="194"/>
      <c r="BJ291" s="194"/>
      <c r="BK291" s="194"/>
      <c r="BL291" s="194"/>
      <c r="BM291" s="194"/>
      <c r="BN291" s="194"/>
      <c r="BO291" s="194"/>
      <c r="BP291" s="194"/>
      <c r="BQ291" s="47"/>
      <c r="BR291" s="194"/>
      <c r="BS291" s="47"/>
      <c r="BT291" s="47"/>
      <c r="BU291" s="47"/>
      <c r="BV291" s="47"/>
      <c r="BW291" s="47"/>
      <c r="BX291" s="194"/>
      <c r="BY291" s="194"/>
      <c r="BZ291" s="194"/>
      <c r="CA291" s="194"/>
      <c r="CB291" s="194"/>
      <c r="CC291" s="47"/>
      <c r="CD291" s="47"/>
      <c r="CE291" s="47"/>
      <c r="CF291" s="47"/>
      <c r="CG291" s="47"/>
      <c r="CH291" s="47"/>
      <c r="CI291" s="47"/>
      <c r="CJ291" s="47"/>
      <c r="CK291" s="194"/>
      <c r="CL291" s="194"/>
      <c r="CM291" s="47"/>
      <c r="CN291" s="47"/>
      <c r="CO291" s="47"/>
      <c r="CP291" s="47"/>
      <c r="CQ291" s="47"/>
      <c r="CR291" s="47"/>
      <c r="CS291" s="198"/>
      <c r="CT291" s="47"/>
      <c r="CU291" s="47"/>
      <c r="CV291" s="47"/>
      <c r="CW291" s="47"/>
      <c r="CX291" s="194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198"/>
      <c r="DX291" s="47"/>
      <c r="DY291" s="194"/>
      <c r="DZ291" s="47"/>
      <c r="EA291" s="47"/>
      <c r="EB291" s="194"/>
      <c r="EC291" s="47"/>
      <c r="ED291" s="195"/>
      <c r="EE291" s="195"/>
      <c r="EF291" s="195"/>
      <c r="EG291" s="195"/>
      <c r="EH291" s="195">
        <v>13</v>
      </c>
      <c r="EI291" s="196">
        <f t="shared" si="16"/>
        <v>546</v>
      </c>
      <c r="EJ291" s="201">
        <f t="shared" si="17"/>
        <v>53.34</v>
      </c>
      <c r="EK291" s="202">
        <v>0</v>
      </c>
      <c r="EL291" s="5"/>
      <c r="FA291" s="251">
        <f t="shared" si="18"/>
        <v>42</v>
      </c>
    </row>
    <row r="292" spans="1:157" s="1" customFormat="1" ht="20.149999999999999" customHeight="1" x14ac:dyDescent="0.35">
      <c r="A292" s="2"/>
      <c r="B292" s="47" t="s">
        <v>1026</v>
      </c>
      <c r="C292" s="47" t="s">
        <v>1578</v>
      </c>
      <c r="D292" s="252" t="s">
        <v>770</v>
      </c>
      <c r="E292" s="2" t="s">
        <v>39</v>
      </c>
      <c r="F292" s="2" t="s">
        <v>69</v>
      </c>
      <c r="G292" s="375" t="s">
        <v>40</v>
      </c>
      <c r="H292" s="328">
        <f>H291/6</f>
        <v>7</v>
      </c>
      <c r="I292" s="47"/>
      <c r="J292" s="47"/>
      <c r="K292" s="47"/>
      <c r="L292" s="47"/>
      <c r="M292" s="47"/>
      <c r="N292" s="194"/>
      <c r="O292" s="194"/>
      <c r="P292" s="194"/>
      <c r="Q292" s="194"/>
      <c r="R292" s="194">
        <v>10</v>
      </c>
      <c r="S292" s="194"/>
      <c r="T292" s="47"/>
      <c r="U292" s="194"/>
      <c r="V292" s="47"/>
      <c r="W292" s="194"/>
      <c r="X292" s="47">
        <v>10</v>
      </c>
      <c r="Y292" s="194"/>
      <c r="Z292" s="194"/>
      <c r="AA292" s="47">
        <f>60/6</f>
        <v>10</v>
      </c>
      <c r="AB292" s="47"/>
      <c r="AC292" s="47"/>
      <c r="AD292" s="47">
        <v>10.5</v>
      </c>
      <c r="AE292" s="194">
        <v>10.5</v>
      </c>
      <c r="AF292" s="194"/>
      <c r="AG292" s="194">
        <v>10.5</v>
      </c>
      <c r="AH292" s="5"/>
      <c r="AI292" s="47">
        <v>10</v>
      </c>
      <c r="AJ292" s="223"/>
      <c r="AK292" s="47"/>
      <c r="AL292" s="47">
        <v>10</v>
      </c>
      <c r="AM292" s="47"/>
      <c r="AN292" s="47"/>
      <c r="AO292" s="47">
        <v>10</v>
      </c>
      <c r="AP292" s="194"/>
      <c r="AQ292" s="47"/>
      <c r="AR292" s="47"/>
      <c r="AS292" s="47"/>
      <c r="AT292" s="194"/>
      <c r="AU292" s="194"/>
      <c r="AV292" s="194"/>
      <c r="AW292" s="194"/>
      <c r="AX292" s="194"/>
      <c r="AY292" s="194"/>
      <c r="AZ292" s="194"/>
      <c r="BA292" s="194"/>
      <c r="BB292" s="194"/>
      <c r="BC292" s="194"/>
      <c r="BD292" s="194"/>
      <c r="BE292" s="194"/>
      <c r="BF292" s="194"/>
      <c r="BG292" s="194"/>
      <c r="BH292" s="194"/>
      <c r="BI292" s="194"/>
      <c r="BJ292" s="194"/>
      <c r="BK292" s="194"/>
      <c r="BL292" s="194"/>
      <c r="BM292" s="194"/>
      <c r="BN292" s="194"/>
      <c r="BO292" s="194"/>
      <c r="BP292" s="194"/>
      <c r="BQ292" s="47">
        <v>11</v>
      </c>
      <c r="BR292" s="194"/>
      <c r="BS292" s="47"/>
      <c r="BT292" s="47"/>
      <c r="BU292" s="47"/>
      <c r="BV292" s="47"/>
      <c r="BW292" s="47"/>
      <c r="BX292" s="194"/>
      <c r="BY292" s="194"/>
      <c r="BZ292" s="194">
        <v>10.5</v>
      </c>
      <c r="CA292" s="194"/>
      <c r="CB292" s="194"/>
      <c r="CC292" s="47"/>
      <c r="CD292" s="47"/>
      <c r="CE292" s="47"/>
      <c r="CF292" s="47"/>
      <c r="CG292" s="47"/>
      <c r="CH292" s="47"/>
      <c r="CI292" s="47"/>
      <c r="CJ292" s="47"/>
      <c r="CK292" s="194"/>
      <c r="CL292" s="194">
        <v>10</v>
      </c>
      <c r="CM292" s="47"/>
      <c r="CN292" s="47"/>
      <c r="CO292" s="47"/>
      <c r="CP292" s="47"/>
      <c r="CQ292" s="47">
        <v>10</v>
      </c>
      <c r="CR292" s="47"/>
      <c r="CS292" s="198">
        <v>10.5</v>
      </c>
      <c r="CT292" s="47"/>
      <c r="CU292" s="47"/>
      <c r="CV292" s="47">
        <v>10.5</v>
      </c>
      <c r="CW292" s="47"/>
      <c r="CX292" s="194">
        <v>10.5</v>
      </c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>
        <v>10.7</v>
      </c>
      <c r="DU292" s="47"/>
      <c r="DV292" s="47"/>
      <c r="DW292" s="198"/>
      <c r="DX292" s="47"/>
      <c r="DY292" s="194"/>
      <c r="DZ292" s="47"/>
      <c r="EA292" s="47"/>
      <c r="EB292" s="194"/>
      <c r="EC292" s="47"/>
      <c r="ED292" s="195"/>
      <c r="EE292" s="195"/>
      <c r="EF292" s="195"/>
      <c r="EG292" s="195"/>
      <c r="EH292" s="195">
        <v>5</v>
      </c>
      <c r="EI292" s="196">
        <f t="shared" si="16"/>
        <v>35</v>
      </c>
      <c r="EJ292" s="201">
        <f t="shared" si="17"/>
        <v>8.89</v>
      </c>
      <c r="EK292" s="202">
        <v>10.5</v>
      </c>
      <c r="EL292" s="5"/>
      <c r="FA292" s="251">
        <f t="shared" si="18"/>
        <v>7</v>
      </c>
    </row>
    <row r="293" spans="1:157" s="1" customFormat="1" ht="20.149999999999999" customHeight="1" x14ac:dyDescent="0.35">
      <c r="A293" s="2"/>
      <c r="B293" s="47" t="s">
        <v>1027</v>
      </c>
      <c r="C293" s="47" t="s">
        <v>1396</v>
      </c>
      <c r="D293" s="252" t="s">
        <v>770</v>
      </c>
      <c r="E293" s="2" t="s">
        <v>1435</v>
      </c>
      <c r="F293" s="2" t="s">
        <v>397</v>
      </c>
      <c r="G293" s="375" t="s">
        <v>32</v>
      </c>
      <c r="H293" s="328">
        <f>4200/215</f>
        <v>19.534883720930232</v>
      </c>
      <c r="I293" s="47"/>
      <c r="J293" s="47"/>
      <c r="K293" s="47"/>
      <c r="L293" s="47">
        <v>25</v>
      </c>
      <c r="M293" s="47">
        <v>25</v>
      </c>
      <c r="N293" s="194"/>
      <c r="O293" s="194"/>
      <c r="P293" s="194"/>
      <c r="Q293" s="194"/>
      <c r="R293" s="194"/>
      <c r="S293" s="194"/>
      <c r="T293" s="47"/>
      <c r="U293" s="194"/>
      <c r="V293" s="47"/>
      <c r="W293" s="194"/>
      <c r="X293" s="47">
        <v>25</v>
      </c>
      <c r="Y293" s="194"/>
      <c r="Z293" s="194"/>
      <c r="AA293" s="47"/>
      <c r="AB293" s="47">
        <v>26</v>
      </c>
      <c r="AC293" s="47"/>
      <c r="AD293" s="47"/>
      <c r="AE293" s="194">
        <v>26</v>
      </c>
      <c r="AF293" s="194"/>
      <c r="AG293" s="194"/>
      <c r="AH293" s="5"/>
      <c r="AI293" s="47"/>
      <c r="AJ293" s="223"/>
      <c r="AK293" s="47"/>
      <c r="AL293" s="47">
        <v>25</v>
      </c>
      <c r="AM293" s="47"/>
      <c r="AN293" s="47">
        <v>25</v>
      </c>
      <c r="AO293" s="47"/>
      <c r="AP293" s="194">
        <v>26</v>
      </c>
      <c r="AQ293" s="47"/>
      <c r="AR293" s="47">
        <v>25</v>
      </c>
      <c r="AS293" s="47">
        <v>25</v>
      </c>
      <c r="AT293" s="194">
        <v>25</v>
      </c>
      <c r="AU293" s="194"/>
      <c r="AV293" s="194"/>
      <c r="AW293" s="194"/>
      <c r="AX293" s="194"/>
      <c r="AY293" s="194">
        <v>25</v>
      </c>
      <c r="AZ293" s="194"/>
      <c r="BA293" s="194"/>
      <c r="BB293" s="194"/>
      <c r="BC293" s="194"/>
      <c r="BD293" s="194"/>
      <c r="BE293" s="194"/>
      <c r="BF293" s="194"/>
      <c r="BG293" s="194">
        <v>26</v>
      </c>
      <c r="BH293" s="194"/>
      <c r="BI293" s="194"/>
      <c r="BJ293" s="194"/>
      <c r="BK293" s="194"/>
      <c r="BL293" s="194"/>
      <c r="BM293" s="194">
        <v>25</v>
      </c>
      <c r="BN293" s="194"/>
      <c r="BO293" s="194"/>
      <c r="BP293" s="194"/>
      <c r="BQ293" s="47"/>
      <c r="BR293" s="194"/>
      <c r="BS293" s="47">
        <v>25</v>
      </c>
      <c r="BT293" s="47"/>
      <c r="BU293" s="47"/>
      <c r="BV293" s="47"/>
      <c r="BW293" s="47"/>
      <c r="BX293" s="194">
        <v>25</v>
      </c>
      <c r="BY293" s="194"/>
      <c r="BZ293" s="194">
        <v>25</v>
      </c>
      <c r="CA293" s="194"/>
      <c r="CB293" s="194">
        <v>25</v>
      </c>
      <c r="CC293" s="47"/>
      <c r="CD293" s="47"/>
      <c r="CE293" s="47"/>
      <c r="CF293" s="47"/>
      <c r="CG293" s="47"/>
      <c r="CH293" s="47"/>
      <c r="CI293" s="47">
        <v>25</v>
      </c>
      <c r="CJ293" s="47"/>
      <c r="CK293" s="224"/>
      <c r="CL293" s="194">
        <v>25</v>
      </c>
      <c r="CM293" s="47"/>
      <c r="CN293" s="47"/>
      <c r="CO293" s="47">
        <v>25</v>
      </c>
      <c r="CP293" s="47">
        <v>25</v>
      </c>
      <c r="CQ293" s="47"/>
      <c r="CR293" s="47"/>
      <c r="CS293" s="198">
        <v>25</v>
      </c>
      <c r="CT293" s="47"/>
      <c r="CU293" s="47">
        <v>25</v>
      </c>
      <c r="CV293" s="47">
        <v>25</v>
      </c>
      <c r="CW293" s="47"/>
      <c r="CX293" s="194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198"/>
      <c r="DX293" s="47"/>
      <c r="DY293" s="194"/>
      <c r="DZ293" s="47"/>
      <c r="EA293" s="47"/>
      <c r="EB293" s="194"/>
      <c r="EC293" s="47"/>
      <c r="ED293" s="195"/>
      <c r="EE293" s="195"/>
      <c r="EF293" s="195"/>
      <c r="EG293" s="195"/>
      <c r="EH293" s="195">
        <v>64</v>
      </c>
      <c r="EI293" s="196">
        <f t="shared" si="16"/>
        <v>1250.2325581395348</v>
      </c>
      <c r="EJ293" s="201">
        <f t="shared" si="17"/>
        <v>24.809302325581395</v>
      </c>
      <c r="EK293" s="202">
        <v>0</v>
      </c>
      <c r="EL293" s="5"/>
      <c r="FA293" s="251">
        <f t="shared" si="18"/>
        <v>19.534883720930232</v>
      </c>
    </row>
    <row r="294" spans="1:157" s="1" customFormat="1" ht="20.149999999999999" customHeight="1" x14ac:dyDescent="0.35">
      <c r="A294" s="2"/>
      <c r="B294" s="373" t="s">
        <v>1028</v>
      </c>
      <c r="C294" s="47" t="s">
        <v>1396</v>
      </c>
      <c r="D294" s="386" t="s">
        <v>770</v>
      </c>
      <c r="E294" s="374" t="s">
        <v>1480</v>
      </c>
      <c r="F294" s="374" t="s">
        <v>397</v>
      </c>
      <c r="G294" s="2" t="s">
        <v>32</v>
      </c>
      <c r="H294" s="328">
        <v>18</v>
      </c>
      <c r="I294" s="47"/>
      <c r="J294" s="47"/>
      <c r="K294" s="47"/>
      <c r="L294" s="47"/>
      <c r="M294" s="47"/>
      <c r="N294" s="194"/>
      <c r="O294" s="194"/>
      <c r="P294" s="194"/>
      <c r="Q294" s="194"/>
      <c r="R294" s="47"/>
      <c r="S294" s="194"/>
      <c r="T294" s="47"/>
      <c r="U294" s="194"/>
      <c r="V294" s="47"/>
      <c r="W294" s="194"/>
      <c r="X294" s="47"/>
      <c r="Y294" s="194"/>
      <c r="Z294" s="194"/>
      <c r="AA294" s="47"/>
      <c r="AB294" s="47"/>
      <c r="AC294" s="47"/>
      <c r="AD294" s="47"/>
      <c r="AE294" s="194"/>
      <c r="AF294" s="194"/>
      <c r="AG294" s="194"/>
      <c r="AH294" s="5"/>
      <c r="AI294" s="47"/>
      <c r="AJ294" s="223"/>
      <c r="AK294" s="47"/>
      <c r="AL294" s="47"/>
      <c r="AM294" s="47"/>
      <c r="AN294" s="47"/>
      <c r="AO294" s="47"/>
      <c r="AP294" s="194"/>
      <c r="AQ294" s="47"/>
      <c r="AR294" s="47"/>
      <c r="AS294" s="47"/>
      <c r="AT294" s="194"/>
      <c r="AU294" s="194"/>
      <c r="AV294" s="194"/>
      <c r="AW294" s="194"/>
      <c r="AX294" s="194"/>
      <c r="AY294" s="194"/>
      <c r="AZ294" s="194"/>
      <c r="BA294" s="194"/>
      <c r="BB294" s="194"/>
      <c r="BC294" s="194"/>
      <c r="BD294" s="194"/>
      <c r="BE294" s="194"/>
      <c r="BF294" s="194"/>
      <c r="BG294" s="194"/>
      <c r="BH294" s="194"/>
      <c r="BI294" s="194"/>
      <c r="BJ294" s="194"/>
      <c r="BK294" s="194"/>
      <c r="BL294" s="194"/>
      <c r="BM294" s="194"/>
      <c r="BN294" s="194"/>
      <c r="BO294" s="194"/>
      <c r="BP294" s="194"/>
      <c r="BQ294" s="47"/>
      <c r="BR294" s="194"/>
      <c r="BS294" s="47"/>
      <c r="BT294" s="47"/>
      <c r="BU294" s="47"/>
      <c r="BV294" s="47"/>
      <c r="BW294" s="47"/>
      <c r="BX294" s="194">
        <v>23</v>
      </c>
      <c r="BY294" s="194"/>
      <c r="BZ294" s="194"/>
      <c r="CA294" s="194"/>
      <c r="CB294" s="194"/>
      <c r="CC294" s="47"/>
      <c r="CD294" s="47"/>
      <c r="CE294" s="47"/>
      <c r="CF294" s="47"/>
      <c r="CG294" s="47"/>
      <c r="CH294" s="47"/>
      <c r="CI294" s="47"/>
      <c r="CJ294" s="47"/>
      <c r="CK294" s="224"/>
      <c r="CL294" s="194"/>
      <c r="CM294" s="47"/>
      <c r="CN294" s="47"/>
      <c r="CO294" s="47"/>
      <c r="CP294" s="47"/>
      <c r="CQ294" s="47">
        <v>24</v>
      </c>
      <c r="CR294" s="47"/>
      <c r="CS294" s="47">
        <v>24</v>
      </c>
      <c r="CT294" s="47"/>
      <c r="CU294" s="47"/>
      <c r="CV294" s="47"/>
      <c r="CW294" s="47"/>
      <c r="CX294" s="194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>
        <v>24</v>
      </c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198"/>
      <c r="DX294" s="47"/>
      <c r="DY294" s="194"/>
      <c r="DZ294" s="47"/>
      <c r="EA294" s="47"/>
      <c r="EB294" s="194"/>
      <c r="EC294" s="47"/>
      <c r="ED294" s="195"/>
      <c r="EE294" s="195"/>
      <c r="EF294" s="195"/>
      <c r="EG294" s="195"/>
      <c r="EH294" s="195">
        <v>2</v>
      </c>
      <c r="EI294" s="196">
        <f t="shared" si="16"/>
        <v>36</v>
      </c>
      <c r="EJ294" s="201">
        <f t="shared" si="17"/>
        <v>22.86</v>
      </c>
      <c r="EK294" s="202">
        <v>23</v>
      </c>
      <c r="EL294" s="5"/>
      <c r="FA294" s="251">
        <f t="shared" si="18"/>
        <v>18</v>
      </c>
    </row>
    <row r="295" spans="1:157" s="1" customFormat="1" ht="20.149999999999999" customHeight="1" x14ac:dyDescent="0.35">
      <c r="A295" s="2"/>
      <c r="B295" s="380" t="s">
        <v>1029</v>
      </c>
      <c r="C295" s="380" t="s">
        <v>1405</v>
      </c>
      <c r="D295" s="381" t="s">
        <v>637</v>
      </c>
      <c r="E295" s="382" t="s">
        <v>1436</v>
      </c>
      <c r="F295" s="382" t="s">
        <v>404</v>
      </c>
      <c r="G295" s="2" t="s">
        <v>32</v>
      </c>
      <c r="H295" s="328">
        <v>34.5</v>
      </c>
      <c r="I295" s="47"/>
      <c r="J295" s="47"/>
      <c r="K295" s="47"/>
      <c r="L295" s="47"/>
      <c r="M295" s="47"/>
      <c r="N295" s="194"/>
      <c r="O295" s="194"/>
      <c r="P295" s="194"/>
      <c r="Q295" s="194"/>
      <c r="R295" s="194">
        <v>40</v>
      </c>
      <c r="S295" s="194"/>
      <c r="T295" s="47"/>
      <c r="U295" s="194"/>
      <c r="V295" s="47"/>
      <c r="W295" s="194"/>
      <c r="X295" s="47"/>
      <c r="Y295" s="194"/>
      <c r="Z295" s="194"/>
      <c r="AA295" s="47"/>
      <c r="AB295" s="47"/>
      <c r="AC295" s="47"/>
      <c r="AD295" s="47"/>
      <c r="AE295" s="194"/>
      <c r="AF295" s="194"/>
      <c r="AG295" s="194"/>
      <c r="AH295" s="5"/>
      <c r="AI295" s="47"/>
      <c r="AJ295" s="223"/>
      <c r="AK295" s="47"/>
      <c r="AL295" s="47"/>
      <c r="AM295" s="47"/>
      <c r="AN295" s="47"/>
      <c r="AO295" s="47"/>
      <c r="AP295" s="194"/>
      <c r="AQ295" s="47"/>
      <c r="AR295" s="47"/>
      <c r="AS295" s="47">
        <v>40</v>
      </c>
      <c r="AT295" s="194"/>
      <c r="AU295" s="194"/>
      <c r="AV295" s="194"/>
      <c r="AW295" s="194"/>
      <c r="AX295" s="194"/>
      <c r="AY295" s="194">
        <v>40</v>
      </c>
      <c r="AZ295" s="194"/>
      <c r="BA295" s="194"/>
      <c r="BB295" s="194"/>
      <c r="BC295" s="194"/>
      <c r="BD295" s="194"/>
      <c r="BE295" s="194"/>
      <c r="BF295" s="194"/>
      <c r="BG295" s="194"/>
      <c r="BH295" s="194"/>
      <c r="BI295" s="194"/>
      <c r="BJ295" s="194"/>
      <c r="BK295" s="194"/>
      <c r="BL295" s="194"/>
      <c r="BM295" s="194"/>
      <c r="BN295" s="194"/>
      <c r="BO295" s="194"/>
      <c r="BP295" s="194"/>
      <c r="BQ295" s="47"/>
      <c r="BR295" s="194"/>
      <c r="BS295" s="47"/>
      <c r="BT295" s="47"/>
      <c r="BU295" s="47"/>
      <c r="BV295" s="47"/>
      <c r="BW295" s="47"/>
      <c r="BX295" s="194"/>
      <c r="BY295" s="194"/>
      <c r="BZ295" s="194"/>
      <c r="CA295" s="194"/>
      <c r="CB295" s="194"/>
      <c r="CC295" s="47"/>
      <c r="CD295" s="47"/>
      <c r="CE295" s="47"/>
      <c r="CF295" s="47"/>
      <c r="CG295" s="47"/>
      <c r="CH295" s="47"/>
      <c r="CI295" s="47"/>
      <c r="CJ295" s="47"/>
      <c r="CK295" s="224"/>
      <c r="CL295" s="194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194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>
        <v>18</v>
      </c>
      <c r="DW295" s="198"/>
      <c r="DX295" s="47"/>
      <c r="DY295" s="194"/>
      <c r="DZ295" s="47"/>
      <c r="EA295" s="47"/>
      <c r="EB295" s="194"/>
      <c r="EC295" s="47"/>
      <c r="ED295" s="195"/>
      <c r="EE295" s="195"/>
      <c r="EF295" s="195"/>
      <c r="EG295" s="195"/>
      <c r="EH295" s="195">
        <v>8</v>
      </c>
      <c r="EI295" s="196">
        <f t="shared" si="16"/>
        <v>276</v>
      </c>
      <c r="EJ295" s="201">
        <f t="shared" si="17"/>
        <v>43.814999999999998</v>
      </c>
      <c r="EK295" s="202">
        <v>38</v>
      </c>
      <c r="EL295" s="5"/>
      <c r="FA295" s="251">
        <f t="shared" si="18"/>
        <v>34.5</v>
      </c>
    </row>
    <row r="296" spans="1:157" s="1" customFormat="1" ht="20.149999999999999" customHeight="1" x14ac:dyDescent="0.35">
      <c r="A296" s="2"/>
      <c r="B296" s="47" t="s">
        <v>1030</v>
      </c>
      <c r="C296" s="380" t="s">
        <v>1405</v>
      </c>
      <c r="D296" s="252" t="s">
        <v>637</v>
      </c>
      <c r="E296" s="2" t="s">
        <v>1436</v>
      </c>
      <c r="F296" s="2" t="s">
        <v>398</v>
      </c>
      <c r="G296" s="375" t="s">
        <v>32</v>
      </c>
      <c r="H296" s="328">
        <f>H295/2</f>
        <v>17.25</v>
      </c>
      <c r="I296" s="47"/>
      <c r="J296" s="47"/>
      <c r="K296" s="47"/>
      <c r="L296" s="47"/>
      <c r="M296" s="47"/>
      <c r="N296" s="194"/>
      <c r="O296" s="194"/>
      <c r="P296" s="194"/>
      <c r="Q296" s="194"/>
      <c r="R296" s="47"/>
      <c r="S296" s="194"/>
      <c r="T296" s="47"/>
      <c r="U296" s="194"/>
      <c r="V296" s="47"/>
      <c r="W296" s="194"/>
      <c r="X296" s="47"/>
      <c r="Y296" s="194"/>
      <c r="Z296" s="194"/>
      <c r="AA296" s="47"/>
      <c r="AB296" s="47"/>
      <c r="AC296" s="47"/>
      <c r="AD296" s="47"/>
      <c r="AE296" s="194"/>
      <c r="AF296" s="194"/>
      <c r="AG296" s="194"/>
      <c r="AH296" s="5"/>
      <c r="AI296" s="47"/>
      <c r="AJ296" s="223"/>
      <c r="AK296" s="47"/>
      <c r="AL296" s="47"/>
      <c r="AM296" s="47"/>
      <c r="AN296" s="47"/>
      <c r="AO296" s="47"/>
      <c r="AP296" s="194"/>
      <c r="AQ296" s="47"/>
      <c r="AR296" s="47"/>
      <c r="AS296" s="47"/>
      <c r="AT296" s="194"/>
      <c r="AU296" s="194"/>
      <c r="AV296" s="194"/>
      <c r="AW296" s="194"/>
      <c r="AX296" s="194"/>
      <c r="AY296" s="194"/>
      <c r="AZ296" s="194"/>
      <c r="BA296" s="194"/>
      <c r="BB296" s="194"/>
      <c r="BC296" s="194"/>
      <c r="BD296" s="194"/>
      <c r="BE296" s="194"/>
      <c r="BF296" s="194"/>
      <c r="BG296" s="194"/>
      <c r="BH296" s="194"/>
      <c r="BI296" s="194"/>
      <c r="BJ296" s="194"/>
      <c r="BK296" s="194"/>
      <c r="BL296" s="194"/>
      <c r="BM296" s="194"/>
      <c r="BN296" s="194"/>
      <c r="BO296" s="194"/>
      <c r="BP296" s="194"/>
      <c r="BQ296" s="47"/>
      <c r="BR296" s="194"/>
      <c r="BS296" s="47"/>
      <c r="BT296" s="47"/>
      <c r="BU296" s="47"/>
      <c r="BV296" s="47"/>
      <c r="BW296" s="47"/>
      <c r="BX296" s="194"/>
      <c r="BY296" s="194"/>
      <c r="BZ296" s="194"/>
      <c r="CA296" s="194"/>
      <c r="CB296" s="194"/>
      <c r="CC296" s="47"/>
      <c r="CD296" s="47"/>
      <c r="CE296" s="47"/>
      <c r="CF296" s="47"/>
      <c r="CG296" s="47"/>
      <c r="CH296" s="47"/>
      <c r="CI296" s="47"/>
      <c r="CJ296" s="47"/>
      <c r="CK296" s="224"/>
      <c r="CL296" s="194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194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198"/>
      <c r="DX296" s="47"/>
      <c r="DY296" s="194"/>
      <c r="DZ296" s="47"/>
      <c r="EA296" s="47"/>
      <c r="EB296" s="194"/>
      <c r="EC296" s="47"/>
      <c r="ED296" s="195"/>
      <c r="EE296" s="195"/>
      <c r="EF296" s="195"/>
      <c r="EG296" s="195"/>
      <c r="EH296" s="195">
        <v>0</v>
      </c>
      <c r="EI296" s="196">
        <f t="shared" si="16"/>
        <v>0</v>
      </c>
      <c r="EJ296" s="201">
        <f t="shared" si="17"/>
        <v>21.907499999999999</v>
      </c>
      <c r="EK296" s="202">
        <v>18</v>
      </c>
      <c r="EL296" s="5"/>
      <c r="FA296" s="251">
        <f t="shared" si="18"/>
        <v>17.25</v>
      </c>
    </row>
    <row r="297" spans="1:157" s="1" customFormat="1" ht="20.149999999999999" customHeight="1" x14ac:dyDescent="0.35">
      <c r="A297" s="2"/>
      <c r="B297" s="383" t="s">
        <v>1031</v>
      </c>
      <c r="C297" s="380" t="s">
        <v>1405</v>
      </c>
      <c r="D297" s="384" t="s">
        <v>637</v>
      </c>
      <c r="E297" s="385" t="s">
        <v>1436</v>
      </c>
      <c r="F297" s="385" t="s">
        <v>763</v>
      </c>
      <c r="G297" s="2" t="s">
        <v>912</v>
      </c>
      <c r="H297" s="328">
        <f>H295/24</f>
        <v>1.4375</v>
      </c>
      <c r="I297" s="47"/>
      <c r="J297" s="47"/>
      <c r="K297" s="47"/>
      <c r="L297" s="47"/>
      <c r="M297" s="47"/>
      <c r="N297" s="194"/>
      <c r="O297" s="194"/>
      <c r="P297" s="194"/>
      <c r="Q297" s="194"/>
      <c r="R297" s="47"/>
      <c r="S297" s="194"/>
      <c r="T297" s="47"/>
      <c r="U297" s="194"/>
      <c r="V297" s="47"/>
      <c r="W297" s="194"/>
      <c r="X297" s="47"/>
      <c r="Y297" s="194"/>
      <c r="Z297" s="194"/>
      <c r="AA297" s="47"/>
      <c r="AB297" s="47"/>
      <c r="AC297" s="47"/>
      <c r="AD297" s="47"/>
      <c r="AE297" s="194"/>
      <c r="AF297" s="194"/>
      <c r="AG297" s="194"/>
      <c r="AH297" s="5"/>
      <c r="AI297" s="47"/>
      <c r="AJ297" s="223"/>
      <c r="AK297" s="47"/>
      <c r="AL297" s="47"/>
      <c r="AM297" s="47"/>
      <c r="AN297" s="47"/>
      <c r="AO297" s="47"/>
      <c r="AP297" s="194"/>
      <c r="AQ297" s="47"/>
      <c r="AR297" s="47"/>
      <c r="AS297" s="47"/>
      <c r="AT297" s="194"/>
      <c r="AU297" s="194"/>
      <c r="AV297" s="194"/>
      <c r="AW297" s="194"/>
      <c r="AX297" s="194"/>
      <c r="AY297" s="194"/>
      <c r="AZ297" s="194"/>
      <c r="BA297" s="194"/>
      <c r="BB297" s="194"/>
      <c r="BC297" s="194"/>
      <c r="BD297" s="194"/>
      <c r="BE297" s="194"/>
      <c r="BF297" s="194"/>
      <c r="BG297" s="194"/>
      <c r="BH297" s="194"/>
      <c r="BI297" s="194"/>
      <c r="BJ297" s="194"/>
      <c r="BK297" s="194"/>
      <c r="BL297" s="194"/>
      <c r="BM297" s="194"/>
      <c r="BN297" s="194"/>
      <c r="BO297" s="194"/>
      <c r="BP297" s="194"/>
      <c r="BQ297" s="47"/>
      <c r="BR297" s="194"/>
      <c r="BS297" s="47"/>
      <c r="BT297" s="47"/>
      <c r="BU297" s="47"/>
      <c r="BV297" s="47"/>
      <c r="BW297" s="47"/>
      <c r="BX297" s="194"/>
      <c r="BY297" s="194"/>
      <c r="BZ297" s="194"/>
      <c r="CA297" s="194"/>
      <c r="CB297" s="194"/>
      <c r="CC297" s="47"/>
      <c r="CD297" s="47"/>
      <c r="CE297" s="47"/>
      <c r="CF297" s="47"/>
      <c r="CG297" s="47"/>
      <c r="CH297" s="47"/>
      <c r="CI297" s="47"/>
      <c r="CJ297" s="47"/>
      <c r="CK297" s="224"/>
      <c r="CL297" s="194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194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>
        <v>1.5</v>
      </c>
      <c r="DV297" s="47"/>
      <c r="DW297" s="198"/>
      <c r="DX297" s="47"/>
      <c r="DY297" s="194"/>
      <c r="DZ297" s="47"/>
      <c r="EA297" s="47"/>
      <c r="EB297" s="194"/>
      <c r="EC297" s="47"/>
      <c r="ED297" s="195"/>
      <c r="EE297" s="195"/>
      <c r="EF297" s="195"/>
      <c r="EG297" s="195"/>
      <c r="EH297" s="195">
        <v>7</v>
      </c>
      <c r="EI297" s="196">
        <f t="shared" si="16"/>
        <v>10.0625</v>
      </c>
      <c r="EJ297" s="201">
        <f t="shared" si="17"/>
        <v>1.8256250000000001</v>
      </c>
      <c r="EK297" s="202">
        <f t="shared" ref="EK297:EK341" si="19">AVERAGE(I297:EC297)</f>
        <v>1.5</v>
      </c>
      <c r="EL297" s="5"/>
      <c r="FA297" s="251">
        <f t="shared" si="18"/>
        <v>1.4375</v>
      </c>
    </row>
    <row r="298" spans="1:157" s="1" customFormat="1" ht="20.149999999999999" customHeight="1" x14ac:dyDescent="0.35">
      <c r="A298" s="2"/>
      <c r="B298" s="47" t="s">
        <v>1032</v>
      </c>
      <c r="C298" s="380" t="s">
        <v>1405</v>
      </c>
      <c r="D298" s="252" t="s">
        <v>770</v>
      </c>
      <c r="E298" s="2" t="s">
        <v>326</v>
      </c>
      <c r="F298" s="2" t="s">
        <v>399</v>
      </c>
      <c r="G298" s="375" t="s">
        <v>32</v>
      </c>
      <c r="H298" s="328">
        <v>20</v>
      </c>
      <c r="I298" s="47"/>
      <c r="J298" s="47"/>
      <c r="K298" s="47"/>
      <c r="L298" s="47">
        <v>24</v>
      </c>
      <c r="M298" s="47"/>
      <c r="N298" s="194"/>
      <c r="O298" s="194"/>
      <c r="P298" s="194"/>
      <c r="Q298" s="194"/>
      <c r="R298" s="47"/>
      <c r="S298" s="194"/>
      <c r="T298" s="47"/>
      <c r="U298" s="194"/>
      <c r="V298" s="47"/>
      <c r="W298" s="194"/>
      <c r="X298" s="47"/>
      <c r="Y298" s="194"/>
      <c r="Z298" s="194"/>
      <c r="AA298" s="47"/>
      <c r="AB298" s="47"/>
      <c r="AC298" s="47"/>
      <c r="AD298" s="47"/>
      <c r="AE298" s="194"/>
      <c r="AF298" s="194"/>
      <c r="AG298" s="194"/>
      <c r="AH298" s="5"/>
      <c r="AI298" s="47"/>
      <c r="AJ298" s="223"/>
      <c r="AK298" s="47"/>
      <c r="AL298" s="47"/>
      <c r="AM298" s="47"/>
      <c r="AN298" s="47">
        <v>26</v>
      </c>
      <c r="AO298" s="47"/>
      <c r="AP298" s="194"/>
      <c r="AQ298" s="47"/>
      <c r="AR298" s="47"/>
      <c r="AS298" s="47"/>
      <c r="AT298" s="194"/>
      <c r="AU298" s="194"/>
      <c r="AV298" s="194"/>
      <c r="AW298" s="194"/>
      <c r="AX298" s="194"/>
      <c r="AY298" s="194"/>
      <c r="AZ298" s="194"/>
      <c r="BA298" s="194"/>
      <c r="BB298" s="194"/>
      <c r="BC298" s="194"/>
      <c r="BD298" s="194"/>
      <c r="BE298" s="194"/>
      <c r="BF298" s="194"/>
      <c r="BG298" s="194"/>
      <c r="BH298" s="194"/>
      <c r="BI298" s="194"/>
      <c r="BJ298" s="194"/>
      <c r="BK298" s="194"/>
      <c r="BL298" s="194"/>
      <c r="BM298" s="194"/>
      <c r="BN298" s="194"/>
      <c r="BO298" s="194"/>
      <c r="BP298" s="194"/>
      <c r="BQ298" s="47"/>
      <c r="BR298" s="194"/>
      <c r="BS298" s="47"/>
      <c r="BT298" s="47"/>
      <c r="BU298" s="47"/>
      <c r="BV298" s="47"/>
      <c r="BW298" s="47"/>
      <c r="BX298" s="194"/>
      <c r="BY298" s="194"/>
      <c r="BZ298" s="194"/>
      <c r="CA298" s="194"/>
      <c r="CB298" s="194"/>
      <c r="CC298" s="47"/>
      <c r="CD298" s="47"/>
      <c r="CE298" s="47"/>
      <c r="CF298" s="47"/>
      <c r="CG298" s="47"/>
      <c r="CH298" s="47"/>
      <c r="CI298" s="47"/>
      <c r="CJ298" s="47"/>
      <c r="CK298" s="224"/>
      <c r="CL298" s="194">
        <v>24</v>
      </c>
      <c r="CM298" s="47"/>
      <c r="CN298" s="47"/>
      <c r="CO298" s="47"/>
      <c r="CP298" s="47"/>
      <c r="CQ298" s="47"/>
      <c r="CR298" s="47"/>
      <c r="CS298" s="47"/>
      <c r="CT298" s="47"/>
      <c r="CU298" s="47"/>
      <c r="CV298" s="47">
        <v>26</v>
      </c>
      <c r="CW298" s="47"/>
      <c r="CX298" s="194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>
        <v>24.5</v>
      </c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198"/>
      <c r="DX298" s="47"/>
      <c r="DY298" s="194"/>
      <c r="DZ298" s="47"/>
      <c r="EA298" s="47"/>
      <c r="EB298" s="194"/>
      <c r="EC298" s="47"/>
      <c r="ED298" s="195"/>
      <c r="EE298" s="195"/>
      <c r="EF298" s="195"/>
      <c r="EG298" s="195"/>
      <c r="EH298" s="195">
        <v>17</v>
      </c>
      <c r="EI298" s="196">
        <f t="shared" si="16"/>
        <v>340</v>
      </c>
      <c r="EJ298" s="201">
        <f t="shared" si="17"/>
        <v>25.4</v>
      </c>
      <c r="EK298" s="202">
        <v>24</v>
      </c>
      <c r="EL298" s="5"/>
      <c r="FA298" s="251">
        <f t="shared" si="18"/>
        <v>20</v>
      </c>
    </row>
    <row r="299" spans="1:157" s="1" customFormat="1" ht="20.149999999999999" customHeight="1" x14ac:dyDescent="0.35">
      <c r="A299" s="2"/>
      <c r="B299" s="373" t="s">
        <v>1033</v>
      </c>
      <c r="C299" s="380" t="s">
        <v>1405</v>
      </c>
      <c r="D299" s="386" t="s">
        <v>637</v>
      </c>
      <c r="E299" s="374" t="s">
        <v>42</v>
      </c>
      <c r="F299" s="374" t="s">
        <v>1375</v>
      </c>
      <c r="G299" s="2" t="s">
        <v>32</v>
      </c>
      <c r="H299" s="57">
        <v>16.5</v>
      </c>
      <c r="I299" s="47"/>
      <c r="J299" s="47"/>
      <c r="K299" s="47"/>
      <c r="L299" s="47"/>
      <c r="M299" s="47"/>
      <c r="N299" s="194"/>
      <c r="O299" s="194"/>
      <c r="P299" s="194"/>
      <c r="Q299" s="194"/>
      <c r="R299" s="47"/>
      <c r="S299" s="194"/>
      <c r="T299" s="47"/>
      <c r="U299" s="194"/>
      <c r="V299" s="47"/>
      <c r="W299" s="194"/>
      <c r="X299" s="47"/>
      <c r="Y299" s="194"/>
      <c r="Z299" s="194"/>
      <c r="AA299" s="47"/>
      <c r="AB299" s="47"/>
      <c r="AC299" s="47"/>
      <c r="AD299" s="47"/>
      <c r="AE299" s="194"/>
      <c r="AF299" s="194"/>
      <c r="AG299" s="194"/>
      <c r="AH299" s="5"/>
      <c r="AI299" s="47"/>
      <c r="AJ299" s="223"/>
      <c r="AK299" s="47"/>
      <c r="AL299" s="47"/>
      <c r="AM299" s="47"/>
      <c r="AN299" s="47"/>
      <c r="AO299" s="47">
        <v>26</v>
      </c>
      <c r="AP299" s="194"/>
      <c r="AQ299" s="47"/>
      <c r="AR299" s="47"/>
      <c r="AS299" s="47"/>
      <c r="AT299" s="194"/>
      <c r="AU299" s="194"/>
      <c r="AV299" s="194"/>
      <c r="AW299" s="194"/>
      <c r="AX299" s="194"/>
      <c r="AY299" s="194">
        <v>25</v>
      </c>
      <c r="AZ299" s="194"/>
      <c r="BA299" s="194"/>
      <c r="BB299" s="194"/>
      <c r="BC299" s="194"/>
      <c r="BD299" s="194"/>
      <c r="BE299" s="194"/>
      <c r="BF299" s="194"/>
      <c r="BG299" s="194"/>
      <c r="BH299" s="194"/>
      <c r="BI299" s="194"/>
      <c r="BJ299" s="194"/>
      <c r="BK299" s="194"/>
      <c r="BL299" s="194"/>
      <c r="BM299" s="194"/>
      <c r="BN299" s="194"/>
      <c r="BO299" s="194"/>
      <c r="BP299" s="194"/>
      <c r="BQ299" s="47"/>
      <c r="BR299" s="194"/>
      <c r="BS299" s="47"/>
      <c r="BT299" s="47"/>
      <c r="BU299" s="47"/>
      <c r="BV299" s="47"/>
      <c r="BW299" s="47"/>
      <c r="BX299" s="194"/>
      <c r="BY299" s="194"/>
      <c r="BZ299" s="194"/>
      <c r="CA299" s="194"/>
      <c r="CB299" s="194"/>
      <c r="CC299" s="47"/>
      <c r="CD299" s="47"/>
      <c r="CE299" s="47"/>
      <c r="CF299" s="47"/>
      <c r="CG299" s="47"/>
      <c r="CH299" s="47"/>
      <c r="CI299" s="47"/>
      <c r="CJ299" s="47"/>
      <c r="CK299" s="224"/>
      <c r="CL299" s="194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194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198"/>
      <c r="DX299" s="47"/>
      <c r="DY299" s="194"/>
      <c r="DZ299" s="47"/>
      <c r="EA299" s="47"/>
      <c r="EB299" s="194"/>
      <c r="EC299" s="47"/>
      <c r="ED299" s="195"/>
      <c r="EE299" s="195"/>
      <c r="EF299" s="195"/>
      <c r="EG299" s="195"/>
      <c r="EH299" s="195">
        <v>1</v>
      </c>
      <c r="EI299" s="196">
        <f t="shared" si="16"/>
        <v>16.5</v>
      </c>
      <c r="EJ299" s="201">
        <f t="shared" si="17"/>
        <v>20.955000000000002</v>
      </c>
      <c r="EK299" s="202">
        <v>0</v>
      </c>
      <c r="EL299" s="5"/>
      <c r="FA299" s="251">
        <f t="shared" si="18"/>
        <v>16.5</v>
      </c>
    </row>
    <row r="300" spans="1:157" s="1" customFormat="1" ht="20.149999999999999" customHeight="1" x14ac:dyDescent="0.35">
      <c r="A300" s="2"/>
      <c r="B300" s="380" t="s">
        <v>1034</v>
      </c>
      <c r="C300" s="380"/>
      <c r="D300" s="381"/>
      <c r="E300" s="382"/>
      <c r="F300" s="382"/>
      <c r="G300" s="2"/>
      <c r="H300" s="223"/>
      <c r="I300" s="47"/>
      <c r="J300" s="47"/>
      <c r="K300" s="47"/>
      <c r="L300" s="47"/>
      <c r="M300" s="47"/>
      <c r="N300" s="194"/>
      <c r="O300" s="194"/>
      <c r="P300" s="194"/>
      <c r="Q300" s="194"/>
      <c r="R300" s="47"/>
      <c r="S300" s="194"/>
      <c r="T300" s="47"/>
      <c r="U300" s="194"/>
      <c r="V300" s="47"/>
      <c r="W300" s="194"/>
      <c r="X300" s="47"/>
      <c r="Y300" s="194"/>
      <c r="Z300" s="194"/>
      <c r="AA300" s="47"/>
      <c r="AB300" s="47"/>
      <c r="AC300" s="47"/>
      <c r="AD300" s="47"/>
      <c r="AE300" s="194"/>
      <c r="AF300" s="194"/>
      <c r="AG300" s="194"/>
      <c r="AH300" s="5"/>
      <c r="AI300" s="47"/>
      <c r="AJ300" s="223"/>
      <c r="AK300" s="47"/>
      <c r="AL300" s="47"/>
      <c r="AM300" s="47"/>
      <c r="AN300" s="47"/>
      <c r="AO300" s="47"/>
      <c r="AP300" s="194"/>
      <c r="AQ300" s="47"/>
      <c r="AR300" s="47"/>
      <c r="AS300" s="47"/>
      <c r="AT300" s="194"/>
      <c r="AU300" s="194"/>
      <c r="AV300" s="194"/>
      <c r="AW300" s="194"/>
      <c r="AX300" s="194"/>
      <c r="AY300" s="194"/>
      <c r="AZ300" s="194"/>
      <c r="BA300" s="194"/>
      <c r="BB300" s="194"/>
      <c r="BC300" s="194"/>
      <c r="BD300" s="194"/>
      <c r="BE300" s="194"/>
      <c r="BF300" s="194"/>
      <c r="BG300" s="194"/>
      <c r="BH300" s="194"/>
      <c r="BI300" s="194"/>
      <c r="BJ300" s="194"/>
      <c r="BK300" s="194"/>
      <c r="BL300" s="194"/>
      <c r="BM300" s="194"/>
      <c r="BN300" s="194"/>
      <c r="BO300" s="194"/>
      <c r="BP300" s="194"/>
      <c r="BQ300" s="47"/>
      <c r="BR300" s="194"/>
      <c r="BS300" s="47"/>
      <c r="BT300" s="47"/>
      <c r="BU300" s="47"/>
      <c r="BV300" s="47"/>
      <c r="BW300" s="47"/>
      <c r="BX300" s="194">
        <v>26</v>
      </c>
      <c r="BY300" s="194"/>
      <c r="BZ300" s="194"/>
      <c r="CA300" s="194"/>
      <c r="CB300" s="194">
        <v>27</v>
      </c>
      <c r="CC300" s="47"/>
      <c r="CD300" s="47"/>
      <c r="CE300" s="47"/>
      <c r="CF300" s="47"/>
      <c r="CG300" s="47">
        <v>27</v>
      </c>
      <c r="CH300" s="47"/>
      <c r="CI300" s="47"/>
      <c r="CJ300" s="47"/>
      <c r="CK300" s="224"/>
      <c r="CL300" s="194"/>
      <c r="CM300" s="47"/>
      <c r="CN300" s="47"/>
      <c r="CO300" s="47">
        <v>27</v>
      </c>
      <c r="CP300" s="47"/>
      <c r="CQ300" s="47">
        <v>26</v>
      </c>
      <c r="CR300" s="47"/>
      <c r="CS300" s="47"/>
      <c r="CT300" s="47"/>
      <c r="CU300" s="47"/>
      <c r="CV300" s="47"/>
      <c r="CW300" s="47"/>
      <c r="CX300" s="194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198"/>
      <c r="DX300" s="47"/>
      <c r="DY300" s="194"/>
      <c r="DZ300" s="47"/>
      <c r="EA300" s="47"/>
      <c r="EB300" s="194"/>
      <c r="EC300" s="47"/>
      <c r="ED300" s="195"/>
      <c r="EE300" s="195"/>
      <c r="EF300" s="195"/>
      <c r="EG300" s="195"/>
      <c r="EH300" s="195">
        <v>47</v>
      </c>
      <c r="EI300" s="196">
        <f t="shared" si="16"/>
        <v>0</v>
      </c>
      <c r="EJ300" s="201">
        <f t="shared" si="17"/>
        <v>0</v>
      </c>
      <c r="EK300" s="202">
        <v>26</v>
      </c>
      <c r="EL300" s="5"/>
      <c r="FA300" s="251">
        <f t="shared" si="18"/>
        <v>0</v>
      </c>
    </row>
    <row r="301" spans="1:157" s="1" customFormat="1" ht="20.149999999999999" customHeight="1" x14ac:dyDescent="0.35">
      <c r="A301" s="2"/>
      <c r="B301" s="47" t="s">
        <v>1035</v>
      </c>
      <c r="C301" s="47" t="s">
        <v>1395</v>
      </c>
      <c r="D301" s="252" t="s">
        <v>770</v>
      </c>
      <c r="E301" s="2" t="s">
        <v>42</v>
      </c>
      <c r="F301" s="2" t="s">
        <v>400</v>
      </c>
      <c r="G301" s="375" t="s">
        <v>32</v>
      </c>
      <c r="H301" s="328">
        <v>29</v>
      </c>
      <c r="I301" s="47"/>
      <c r="J301" s="47"/>
      <c r="K301" s="47"/>
      <c r="L301" s="47">
        <v>34</v>
      </c>
      <c r="M301" s="47">
        <v>34</v>
      </c>
      <c r="N301" s="194"/>
      <c r="O301" s="194"/>
      <c r="P301" s="194"/>
      <c r="Q301" s="194"/>
      <c r="R301" s="47"/>
      <c r="S301" s="194"/>
      <c r="T301" s="47"/>
      <c r="U301" s="194"/>
      <c r="V301" s="47"/>
      <c r="W301" s="194"/>
      <c r="X301" s="47"/>
      <c r="Y301" s="194"/>
      <c r="Z301" s="194"/>
      <c r="AA301" s="47"/>
      <c r="AB301" s="47"/>
      <c r="AC301" s="47"/>
      <c r="AD301" s="47">
        <v>36</v>
      </c>
      <c r="AE301" s="194"/>
      <c r="AF301" s="194">
        <v>34</v>
      </c>
      <c r="AG301" s="194"/>
      <c r="AH301" s="5"/>
      <c r="AI301" s="47">
        <v>34</v>
      </c>
      <c r="AJ301" s="223"/>
      <c r="AK301" s="47"/>
      <c r="AL301" s="47"/>
      <c r="AM301" s="47"/>
      <c r="AN301" s="47"/>
      <c r="AO301" s="47"/>
      <c r="AP301" s="194">
        <v>35</v>
      </c>
      <c r="AQ301" s="47">
        <v>34</v>
      </c>
      <c r="AR301" s="47">
        <v>36</v>
      </c>
      <c r="AS301" s="47">
        <v>34</v>
      </c>
      <c r="AT301" s="194">
        <v>34</v>
      </c>
      <c r="AU301" s="194"/>
      <c r="AV301" s="194"/>
      <c r="AW301" s="194"/>
      <c r="AX301" s="194"/>
      <c r="AY301" s="194"/>
      <c r="AZ301" s="194"/>
      <c r="BA301" s="194"/>
      <c r="BB301" s="194"/>
      <c r="BC301" s="194"/>
      <c r="BD301" s="194"/>
      <c r="BE301" s="194"/>
      <c r="BF301" s="194"/>
      <c r="BG301" s="194"/>
      <c r="BH301" s="194"/>
      <c r="BI301" s="194"/>
      <c r="BJ301" s="194"/>
      <c r="BK301" s="194"/>
      <c r="BL301" s="194">
        <v>34</v>
      </c>
      <c r="BM301" s="194"/>
      <c r="BN301" s="194"/>
      <c r="BO301" s="194"/>
      <c r="BP301" s="194"/>
      <c r="BQ301" s="47"/>
      <c r="BR301" s="194"/>
      <c r="BS301" s="47">
        <v>34</v>
      </c>
      <c r="BT301" s="47"/>
      <c r="BU301" s="47"/>
      <c r="BV301" s="47"/>
      <c r="BW301" s="47"/>
      <c r="BX301" s="194">
        <v>34</v>
      </c>
      <c r="BY301" s="194"/>
      <c r="BZ301" s="194">
        <v>34</v>
      </c>
      <c r="CA301" s="194"/>
      <c r="CB301" s="194"/>
      <c r="CC301" s="47"/>
      <c r="CD301" s="47"/>
      <c r="CE301" s="47"/>
      <c r="CF301" s="47"/>
      <c r="CG301" s="47"/>
      <c r="CH301" s="47"/>
      <c r="CI301" s="47"/>
      <c r="CJ301" s="47"/>
      <c r="CK301" s="224"/>
      <c r="CL301" s="194"/>
      <c r="CM301" s="47"/>
      <c r="CN301" s="47"/>
      <c r="CO301" s="47"/>
      <c r="CP301" s="47">
        <v>34</v>
      </c>
      <c r="CQ301" s="47"/>
      <c r="CR301" s="47"/>
      <c r="CS301" s="198">
        <v>34</v>
      </c>
      <c r="CT301" s="47"/>
      <c r="CU301" s="47"/>
      <c r="CV301" s="47">
        <v>34</v>
      </c>
      <c r="CW301" s="47"/>
      <c r="CX301" s="194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>
        <v>34</v>
      </c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198"/>
      <c r="DX301" s="47"/>
      <c r="DY301" s="194"/>
      <c r="DZ301" s="47"/>
      <c r="EA301" s="47"/>
      <c r="EB301" s="194"/>
      <c r="EC301" s="47"/>
      <c r="ED301" s="195"/>
      <c r="EE301" s="195"/>
      <c r="EF301" s="195"/>
      <c r="EG301" s="195"/>
      <c r="EH301" s="195">
        <v>71</v>
      </c>
      <c r="EI301" s="196">
        <f t="shared" si="16"/>
        <v>2059</v>
      </c>
      <c r="EJ301" s="201">
        <f t="shared" si="17"/>
        <v>36.83</v>
      </c>
      <c r="EK301" s="202">
        <f t="shared" si="19"/>
        <v>34.277777777777779</v>
      </c>
      <c r="EL301" s="5"/>
      <c r="FA301" s="251">
        <f t="shared" si="18"/>
        <v>29</v>
      </c>
    </row>
    <row r="302" spans="1:157" s="1" customFormat="1" ht="20.149999999999999" customHeight="1" x14ac:dyDescent="0.35">
      <c r="A302" s="2"/>
      <c r="B302" s="47" t="s">
        <v>1036</v>
      </c>
      <c r="C302" s="47" t="s">
        <v>1406</v>
      </c>
      <c r="D302" s="252" t="s">
        <v>770</v>
      </c>
      <c r="E302" s="2" t="s">
        <v>42</v>
      </c>
      <c r="F302" s="2" t="s">
        <v>401</v>
      </c>
      <c r="G302" s="375" t="s">
        <v>32</v>
      </c>
      <c r="H302" s="328">
        <v>16</v>
      </c>
      <c r="I302" s="47"/>
      <c r="J302" s="47"/>
      <c r="K302" s="47"/>
      <c r="L302" s="47">
        <v>25</v>
      </c>
      <c r="M302" s="47">
        <v>24</v>
      </c>
      <c r="N302" s="194"/>
      <c r="O302" s="194"/>
      <c r="P302" s="194"/>
      <c r="Q302" s="194"/>
      <c r="R302" s="47"/>
      <c r="S302" s="194"/>
      <c r="T302" s="47"/>
      <c r="U302" s="194"/>
      <c r="V302" s="47"/>
      <c r="W302" s="194"/>
      <c r="X302" s="47"/>
      <c r="Y302" s="194"/>
      <c r="Z302" s="194"/>
      <c r="AA302" s="47"/>
      <c r="AB302" s="47">
        <v>25</v>
      </c>
      <c r="AC302" s="47"/>
      <c r="AD302" s="47">
        <v>24</v>
      </c>
      <c r="AE302" s="194"/>
      <c r="AF302" s="194"/>
      <c r="AG302" s="194"/>
      <c r="AH302" s="5"/>
      <c r="AI302" s="47"/>
      <c r="AJ302" s="223"/>
      <c r="AK302" s="47"/>
      <c r="AL302" s="47"/>
      <c r="AM302" s="47"/>
      <c r="AN302" s="47"/>
      <c r="AO302" s="47"/>
      <c r="AP302" s="194">
        <v>25</v>
      </c>
      <c r="AQ302" s="47"/>
      <c r="AR302" s="47">
        <v>25</v>
      </c>
      <c r="AS302" s="47">
        <v>25</v>
      </c>
      <c r="AT302" s="194">
        <v>23</v>
      </c>
      <c r="AU302" s="194"/>
      <c r="AV302" s="194"/>
      <c r="AW302" s="194"/>
      <c r="AX302" s="194"/>
      <c r="AY302" s="194"/>
      <c r="AZ302" s="194"/>
      <c r="BA302" s="194"/>
      <c r="BB302" s="194"/>
      <c r="BC302" s="194"/>
      <c r="BD302" s="194"/>
      <c r="BE302" s="194"/>
      <c r="BF302" s="194"/>
      <c r="BG302" s="194"/>
      <c r="BH302" s="194"/>
      <c r="BI302" s="194"/>
      <c r="BJ302" s="194"/>
      <c r="BK302" s="194"/>
      <c r="BL302" s="194"/>
      <c r="BM302" s="194">
        <v>23</v>
      </c>
      <c r="BN302" s="194"/>
      <c r="BO302" s="194"/>
      <c r="BP302" s="194"/>
      <c r="BQ302" s="47"/>
      <c r="BR302" s="194"/>
      <c r="BS302" s="47">
        <v>23</v>
      </c>
      <c r="BT302" s="47"/>
      <c r="BU302" s="47"/>
      <c r="BV302" s="47"/>
      <c r="BW302" s="47"/>
      <c r="BX302" s="194">
        <v>21</v>
      </c>
      <c r="BY302" s="194"/>
      <c r="BZ302" s="194">
        <v>23</v>
      </c>
      <c r="CA302" s="194"/>
      <c r="CB302" s="194"/>
      <c r="CC302" s="47"/>
      <c r="CD302" s="47"/>
      <c r="CE302" s="47"/>
      <c r="CF302" s="47"/>
      <c r="CG302" s="47">
        <v>23</v>
      </c>
      <c r="CH302" s="47"/>
      <c r="CI302" s="47"/>
      <c r="CJ302" s="47"/>
      <c r="CK302" s="224"/>
      <c r="CL302" s="194">
        <v>23</v>
      </c>
      <c r="CM302" s="47"/>
      <c r="CN302" s="47"/>
      <c r="CO302" s="47">
        <v>24</v>
      </c>
      <c r="CP302" s="47">
        <v>24</v>
      </c>
      <c r="CQ302" s="47">
        <v>23</v>
      </c>
      <c r="CR302" s="47"/>
      <c r="CS302" s="198">
        <v>23</v>
      </c>
      <c r="CT302" s="47"/>
      <c r="CU302" s="47"/>
      <c r="CV302" s="47">
        <v>23</v>
      </c>
      <c r="CW302" s="47"/>
      <c r="CX302" s="194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>
        <v>24</v>
      </c>
      <c r="DK302" s="47"/>
      <c r="DL302" s="47">
        <v>25</v>
      </c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198"/>
      <c r="DX302" s="47"/>
      <c r="DY302" s="194"/>
      <c r="DZ302" s="47"/>
      <c r="EA302" s="47"/>
      <c r="EB302" s="194"/>
      <c r="EC302" s="47"/>
      <c r="ED302" s="195"/>
      <c r="EE302" s="195"/>
      <c r="EF302" s="195"/>
      <c r="EG302" s="195"/>
      <c r="EH302" s="195">
        <v>28</v>
      </c>
      <c r="EI302" s="196">
        <f t="shared" si="16"/>
        <v>448</v>
      </c>
      <c r="EJ302" s="201">
        <f t="shared" si="17"/>
        <v>20.32</v>
      </c>
      <c r="EK302" s="202">
        <v>19</v>
      </c>
      <c r="EL302" s="5"/>
      <c r="FA302" s="251">
        <f t="shared" si="18"/>
        <v>16</v>
      </c>
    </row>
    <row r="303" spans="1:157" s="1" customFormat="1" ht="20.149999999999999" customHeight="1" x14ac:dyDescent="0.35">
      <c r="A303" s="2"/>
      <c r="B303" s="373" t="s">
        <v>1037</v>
      </c>
      <c r="C303" s="47" t="s">
        <v>1406</v>
      </c>
      <c r="D303" s="386" t="s">
        <v>770</v>
      </c>
      <c r="E303" s="374" t="s">
        <v>42</v>
      </c>
      <c r="F303" s="374" t="s">
        <v>1579</v>
      </c>
      <c r="G303" s="2" t="s">
        <v>912</v>
      </c>
      <c r="H303" s="223"/>
      <c r="I303" s="47"/>
      <c r="J303" s="47"/>
      <c r="K303" s="47"/>
      <c r="L303" s="47"/>
      <c r="M303" s="47"/>
      <c r="N303" s="194"/>
      <c r="O303" s="194"/>
      <c r="P303" s="194"/>
      <c r="Q303" s="194"/>
      <c r="R303" s="47"/>
      <c r="S303" s="194"/>
      <c r="T303" s="47"/>
      <c r="U303" s="194"/>
      <c r="V303" s="47"/>
      <c r="W303" s="194"/>
      <c r="X303" s="47"/>
      <c r="Y303" s="194"/>
      <c r="Z303" s="194"/>
      <c r="AA303" s="47"/>
      <c r="AB303" s="47"/>
      <c r="AC303" s="47"/>
      <c r="AD303" s="47"/>
      <c r="AE303" s="194"/>
      <c r="AF303" s="194"/>
      <c r="AG303" s="194"/>
      <c r="AH303" s="5"/>
      <c r="AI303" s="47"/>
      <c r="AJ303" s="223"/>
      <c r="AK303" s="47"/>
      <c r="AL303" s="47"/>
      <c r="AM303" s="47"/>
      <c r="AN303" s="47"/>
      <c r="AO303" s="47"/>
      <c r="AP303" s="194"/>
      <c r="AQ303" s="47"/>
      <c r="AR303" s="47"/>
      <c r="AS303" s="47"/>
      <c r="AT303" s="194"/>
      <c r="AU303" s="194"/>
      <c r="AV303" s="194"/>
      <c r="AW303" s="194"/>
      <c r="AX303" s="194"/>
      <c r="AY303" s="194"/>
      <c r="AZ303" s="194"/>
      <c r="BA303" s="194"/>
      <c r="BB303" s="194"/>
      <c r="BC303" s="194"/>
      <c r="BD303" s="194"/>
      <c r="BE303" s="194"/>
      <c r="BF303" s="194"/>
      <c r="BG303" s="194"/>
      <c r="BH303" s="194"/>
      <c r="BI303" s="194"/>
      <c r="BJ303" s="194"/>
      <c r="BK303" s="194"/>
      <c r="BL303" s="194"/>
      <c r="BM303" s="194"/>
      <c r="BN303" s="194"/>
      <c r="BO303" s="194"/>
      <c r="BP303" s="194"/>
      <c r="BQ303" s="47"/>
      <c r="BR303" s="194"/>
      <c r="BS303" s="47"/>
      <c r="BT303" s="47"/>
      <c r="BU303" s="47"/>
      <c r="BV303" s="47"/>
      <c r="BW303" s="47"/>
      <c r="BX303" s="194"/>
      <c r="BY303" s="194"/>
      <c r="BZ303" s="198">
        <v>0.95</v>
      </c>
      <c r="CA303" s="194"/>
      <c r="CB303" s="194"/>
      <c r="CC303" s="47"/>
      <c r="CD303" s="47"/>
      <c r="CE303" s="47"/>
      <c r="CF303" s="47"/>
      <c r="CG303" s="47"/>
      <c r="CH303" s="47"/>
      <c r="CI303" s="47"/>
      <c r="CJ303" s="47"/>
      <c r="CK303" s="224"/>
      <c r="CL303" s="194"/>
      <c r="CM303" s="47"/>
      <c r="CN303" s="47"/>
      <c r="CO303" s="47"/>
      <c r="CP303" s="47"/>
      <c r="CQ303" s="47"/>
      <c r="CR303" s="47"/>
      <c r="CS303" s="198"/>
      <c r="CT303" s="47"/>
      <c r="CU303" s="47"/>
      <c r="CV303" s="47"/>
      <c r="CW303" s="47"/>
      <c r="CX303" s="194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198"/>
      <c r="DX303" s="47"/>
      <c r="DY303" s="194"/>
      <c r="DZ303" s="47"/>
      <c r="EA303" s="47"/>
      <c r="EB303" s="194"/>
      <c r="EC303" s="47"/>
      <c r="ED303" s="195"/>
      <c r="EE303" s="195"/>
      <c r="EF303" s="195"/>
      <c r="EG303" s="195"/>
      <c r="EH303" s="195">
        <v>0</v>
      </c>
      <c r="EI303" s="196">
        <f t="shared" si="16"/>
        <v>0</v>
      </c>
      <c r="EJ303" s="201">
        <f t="shared" si="17"/>
        <v>0</v>
      </c>
      <c r="EK303" s="202">
        <f t="shared" si="19"/>
        <v>0.95</v>
      </c>
      <c r="EL303" s="5"/>
      <c r="FA303" s="251">
        <f t="shared" si="18"/>
        <v>0</v>
      </c>
    </row>
    <row r="304" spans="1:157" s="1" customFormat="1" ht="20.149999999999999" customHeight="1" x14ac:dyDescent="0.35">
      <c r="A304" s="2"/>
      <c r="B304" s="47" t="s">
        <v>1038</v>
      </c>
      <c r="C304" s="47" t="s">
        <v>1407</v>
      </c>
      <c r="D304" s="252" t="s">
        <v>770</v>
      </c>
      <c r="E304" s="2" t="s">
        <v>42</v>
      </c>
      <c r="F304" s="2" t="s">
        <v>402</v>
      </c>
      <c r="G304" s="2" t="s">
        <v>32</v>
      </c>
      <c r="H304" s="328">
        <v>16</v>
      </c>
      <c r="I304" s="47"/>
      <c r="J304" s="47"/>
      <c r="K304" s="47"/>
      <c r="L304" s="47"/>
      <c r="M304" s="47"/>
      <c r="N304" s="194"/>
      <c r="O304" s="194"/>
      <c r="P304" s="194"/>
      <c r="Q304" s="194"/>
      <c r="R304" s="47"/>
      <c r="S304" s="194"/>
      <c r="T304" s="47"/>
      <c r="U304" s="194"/>
      <c r="V304" s="47"/>
      <c r="W304" s="194"/>
      <c r="X304" s="47"/>
      <c r="Y304" s="194"/>
      <c r="Z304" s="194"/>
      <c r="AA304" s="47"/>
      <c r="AB304" s="47"/>
      <c r="AC304" s="47"/>
      <c r="AD304" s="47"/>
      <c r="AE304" s="194"/>
      <c r="AF304" s="194">
        <v>25</v>
      </c>
      <c r="AG304" s="194"/>
      <c r="AH304" s="5"/>
      <c r="AI304" s="47"/>
      <c r="AJ304" s="223"/>
      <c r="AK304" s="47"/>
      <c r="AL304" s="47"/>
      <c r="AM304" s="47"/>
      <c r="AN304" s="47"/>
      <c r="AO304" s="47"/>
      <c r="AP304" s="194"/>
      <c r="AQ304" s="47"/>
      <c r="AR304" s="47">
        <v>25</v>
      </c>
      <c r="AS304" s="47">
        <v>25</v>
      </c>
      <c r="AT304" s="194">
        <v>23</v>
      </c>
      <c r="AU304" s="194"/>
      <c r="AV304" s="194"/>
      <c r="AW304" s="194"/>
      <c r="AX304" s="194"/>
      <c r="AY304" s="194"/>
      <c r="AZ304" s="194"/>
      <c r="BA304" s="194"/>
      <c r="BB304" s="194"/>
      <c r="BC304" s="194"/>
      <c r="BD304" s="194"/>
      <c r="BE304" s="194"/>
      <c r="BF304" s="194"/>
      <c r="BG304" s="194"/>
      <c r="BH304" s="194"/>
      <c r="BI304" s="194"/>
      <c r="BJ304" s="194"/>
      <c r="BK304" s="194"/>
      <c r="BL304" s="194"/>
      <c r="BM304" s="194">
        <v>23</v>
      </c>
      <c r="BN304" s="194"/>
      <c r="BO304" s="194"/>
      <c r="BP304" s="194"/>
      <c r="BQ304" s="47"/>
      <c r="BR304" s="194"/>
      <c r="BS304" s="47"/>
      <c r="BT304" s="47"/>
      <c r="BU304" s="47"/>
      <c r="BV304" s="47"/>
      <c r="BW304" s="47"/>
      <c r="BX304" s="194">
        <v>23</v>
      </c>
      <c r="BY304" s="194"/>
      <c r="BZ304" s="194">
        <v>23</v>
      </c>
      <c r="CA304" s="194"/>
      <c r="CB304" s="194"/>
      <c r="CC304" s="47"/>
      <c r="CD304" s="47"/>
      <c r="CE304" s="47"/>
      <c r="CF304" s="47"/>
      <c r="CG304" s="47"/>
      <c r="CH304" s="47"/>
      <c r="CI304" s="47"/>
      <c r="CJ304" s="47"/>
      <c r="CK304" s="224"/>
      <c r="CL304" s="194"/>
      <c r="CM304" s="47"/>
      <c r="CN304" s="47"/>
      <c r="CO304" s="47">
        <v>24</v>
      </c>
      <c r="CP304" s="47">
        <v>24</v>
      </c>
      <c r="CQ304" s="47">
        <v>23</v>
      </c>
      <c r="CR304" s="47"/>
      <c r="CS304" s="47"/>
      <c r="CT304" s="47"/>
      <c r="CU304" s="47"/>
      <c r="CV304" s="47">
        <v>23</v>
      </c>
      <c r="CW304" s="47"/>
      <c r="CX304" s="194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198"/>
      <c r="DX304" s="47"/>
      <c r="DY304" s="194"/>
      <c r="DZ304" s="47"/>
      <c r="EA304" s="47"/>
      <c r="EB304" s="194"/>
      <c r="EC304" s="47"/>
      <c r="ED304" s="195"/>
      <c r="EE304" s="195"/>
      <c r="EF304" s="195"/>
      <c r="EG304" s="195"/>
      <c r="EH304" s="195">
        <v>31</v>
      </c>
      <c r="EI304" s="196">
        <f t="shared" si="16"/>
        <v>496</v>
      </c>
      <c r="EJ304" s="201">
        <f t="shared" si="17"/>
        <v>20.32</v>
      </c>
      <c r="EK304" s="202">
        <f t="shared" si="19"/>
        <v>23.727272727272727</v>
      </c>
      <c r="EL304" s="5"/>
      <c r="FA304" s="251">
        <f t="shared" si="18"/>
        <v>16</v>
      </c>
    </row>
    <row r="305" spans="1:157" s="1" customFormat="1" ht="20.149999999999999" customHeight="1" x14ac:dyDescent="0.35">
      <c r="A305" s="2"/>
      <c r="B305" s="47" t="s">
        <v>1039</v>
      </c>
      <c r="C305" s="47" t="s">
        <v>1407</v>
      </c>
      <c r="D305" s="252" t="s">
        <v>770</v>
      </c>
      <c r="E305" s="2" t="s">
        <v>42</v>
      </c>
      <c r="F305" s="2" t="s">
        <v>1579</v>
      </c>
      <c r="G305" s="2" t="s">
        <v>912</v>
      </c>
      <c r="H305" s="223"/>
      <c r="I305" s="47"/>
      <c r="J305" s="47"/>
      <c r="K305" s="47"/>
      <c r="L305" s="47"/>
      <c r="M305" s="47"/>
      <c r="N305" s="194"/>
      <c r="O305" s="194"/>
      <c r="P305" s="194"/>
      <c r="Q305" s="194"/>
      <c r="R305" s="47"/>
      <c r="S305" s="194"/>
      <c r="T305" s="47"/>
      <c r="U305" s="194"/>
      <c r="V305" s="47"/>
      <c r="W305" s="194"/>
      <c r="X305" s="47"/>
      <c r="Y305" s="194"/>
      <c r="Z305" s="194"/>
      <c r="AA305" s="47"/>
      <c r="AB305" s="47"/>
      <c r="AC305" s="47"/>
      <c r="AD305" s="47"/>
      <c r="AE305" s="194"/>
      <c r="AF305" s="194"/>
      <c r="AG305" s="194"/>
      <c r="AH305" s="5"/>
      <c r="AI305" s="47"/>
      <c r="AJ305" s="223"/>
      <c r="AK305" s="47"/>
      <c r="AL305" s="47"/>
      <c r="AM305" s="47"/>
      <c r="AN305" s="47"/>
      <c r="AO305" s="47"/>
      <c r="AP305" s="194">
        <v>10.5</v>
      </c>
      <c r="AQ305" s="47"/>
      <c r="AR305" s="47"/>
      <c r="AS305" s="47"/>
      <c r="AT305" s="194"/>
      <c r="AU305" s="194"/>
      <c r="AV305" s="194"/>
      <c r="AW305" s="194"/>
      <c r="AX305" s="194"/>
      <c r="AY305" s="194"/>
      <c r="AZ305" s="194"/>
      <c r="BA305" s="194"/>
      <c r="BB305" s="194"/>
      <c r="BC305" s="194"/>
      <c r="BD305" s="194"/>
      <c r="BE305" s="194"/>
      <c r="BF305" s="194"/>
      <c r="BG305" s="194"/>
      <c r="BH305" s="194"/>
      <c r="BI305" s="194"/>
      <c r="BJ305" s="194"/>
      <c r="BK305" s="194"/>
      <c r="BL305" s="194"/>
      <c r="BM305" s="194"/>
      <c r="BN305" s="194"/>
      <c r="BO305" s="194"/>
      <c r="BP305" s="194"/>
      <c r="BQ305" s="47"/>
      <c r="BR305" s="194"/>
      <c r="BS305" s="47"/>
      <c r="BT305" s="47"/>
      <c r="BU305" s="47"/>
      <c r="BV305" s="47"/>
      <c r="BW305" s="47"/>
      <c r="BX305" s="194"/>
      <c r="BY305" s="194"/>
      <c r="BZ305" s="198">
        <v>0.95</v>
      </c>
      <c r="CA305" s="194"/>
      <c r="CB305" s="194"/>
      <c r="CC305" s="47"/>
      <c r="CD305" s="47"/>
      <c r="CE305" s="47"/>
      <c r="CF305" s="47"/>
      <c r="CG305" s="47"/>
      <c r="CH305" s="47"/>
      <c r="CI305" s="47"/>
      <c r="CJ305" s="47"/>
      <c r="CK305" s="224"/>
      <c r="CL305" s="194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194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198"/>
      <c r="DX305" s="47"/>
      <c r="DY305" s="194"/>
      <c r="DZ305" s="47"/>
      <c r="EA305" s="47"/>
      <c r="EB305" s="194"/>
      <c r="EC305" s="47"/>
      <c r="ED305" s="195"/>
      <c r="EE305" s="195"/>
      <c r="EF305" s="195"/>
      <c r="EG305" s="195"/>
      <c r="EH305" s="195">
        <v>0</v>
      </c>
      <c r="EI305" s="196">
        <f t="shared" si="16"/>
        <v>0</v>
      </c>
      <c r="EJ305" s="201">
        <f t="shared" si="17"/>
        <v>0</v>
      </c>
      <c r="EK305" s="202">
        <f t="shared" si="19"/>
        <v>5.7249999999999996</v>
      </c>
      <c r="EL305" s="5"/>
      <c r="FA305" s="251">
        <f t="shared" si="18"/>
        <v>0</v>
      </c>
    </row>
    <row r="306" spans="1:157" s="1" customFormat="1" ht="20.149999999999999" customHeight="1" x14ac:dyDescent="0.35">
      <c r="A306" s="2"/>
      <c r="B306" s="380" t="s">
        <v>1040</v>
      </c>
      <c r="C306" s="47" t="s">
        <v>1408</v>
      </c>
      <c r="D306" s="381" t="s">
        <v>636</v>
      </c>
      <c r="E306" s="382" t="s">
        <v>1580</v>
      </c>
      <c r="F306" s="382" t="s">
        <v>1581</v>
      </c>
      <c r="G306" s="2" t="s">
        <v>32</v>
      </c>
      <c r="H306" s="328">
        <v>50</v>
      </c>
      <c r="I306" s="47"/>
      <c r="J306" s="47"/>
      <c r="K306" s="47"/>
      <c r="L306" s="47"/>
      <c r="M306" s="47"/>
      <c r="N306" s="194"/>
      <c r="O306" s="194"/>
      <c r="P306" s="194"/>
      <c r="Q306" s="194"/>
      <c r="R306" s="47"/>
      <c r="S306" s="194"/>
      <c r="T306" s="47"/>
      <c r="U306" s="194"/>
      <c r="V306" s="47"/>
      <c r="W306" s="194"/>
      <c r="X306" s="47"/>
      <c r="Y306" s="194"/>
      <c r="Z306" s="194"/>
      <c r="AA306" s="47"/>
      <c r="AB306" s="47"/>
      <c r="AC306" s="47"/>
      <c r="AD306" s="47"/>
      <c r="AE306" s="194"/>
      <c r="AF306" s="194"/>
      <c r="AG306" s="194"/>
      <c r="AH306" s="5"/>
      <c r="AI306" s="47"/>
      <c r="AJ306" s="223"/>
      <c r="AK306" s="47"/>
      <c r="AL306" s="47"/>
      <c r="AM306" s="47"/>
      <c r="AN306" s="47"/>
      <c r="AO306" s="47"/>
      <c r="AP306" s="194"/>
      <c r="AQ306" s="47"/>
      <c r="AR306" s="47"/>
      <c r="AS306" s="47"/>
      <c r="AT306" s="194"/>
      <c r="AU306" s="194"/>
      <c r="AV306" s="194"/>
      <c r="AW306" s="194"/>
      <c r="AX306" s="194"/>
      <c r="AY306" s="194"/>
      <c r="AZ306" s="194"/>
      <c r="BA306" s="194"/>
      <c r="BB306" s="194"/>
      <c r="BC306" s="194"/>
      <c r="BD306" s="194"/>
      <c r="BE306" s="194"/>
      <c r="BF306" s="194"/>
      <c r="BG306" s="194"/>
      <c r="BH306" s="194"/>
      <c r="BI306" s="194"/>
      <c r="BJ306" s="194"/>
      <c r="BK306" s="194"/>
      <c r="BL306" s="194"/>
      <c r="BM306" s="194"/>
      <c r="BN306" s="194"/>
      <c r="BO306" s="194"/>
      <c r="BP306" s="194"/>
      <c r="BQ306" s="47"/>
      <c r="BR306" s="194"/>
      <c r="BS306" s="47"/>
      <c r="BT306" s="47"/>
      <c r="BU306" s="47"/>
      <c r="BV306" s="47"/>
      <c r="BW306" s="47"/>
      <c r="BX306" s="194"/>
      <c r="BY306" s="194"/>
      <c r="BZ306" s="194"/>
      <c r="CA306" s="194"/>
      <c r="CB306" s="194"/>
      <c r="CC306" s="47"/>
      <c r="CD306" s="47"/>
      <c r="CE306" s="47"/>
      <c r="CF306" s="47"/>
      <c r="CG306" s="47"/>
      <c r="CH306" s="47"/>
      <c r="CI306" s="47"/>
      <c r="CJ306" s="47"/>
      <c r="CK306" s="224"/>
      <c r="CL306" s="194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194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198"/>
      <c r="DX306" s="47"/>
      <c r="DY306" s="194"/>
      <c r="DZ306" s="47"/>
      <c r="EA306" s="47"/>
      <c r="EB306" s="194"/>
      <c r="EC306" s="47"/>
      <c r="ED306" s="195"/>
      <c r="EE306" s="195"/>
      <c r="EF306" s="195"/>
      <c r="EG306" s="195"/>
      <c r="EH306" s="195">
        <v>1</v>
      </c>
      <c r="EI306" s="196">
        <f t="shared" si="16"/>
        <v>50</v>
      </c>
      <c r="EJ306" s="201">
        <f t="shared" si="17"/>
        <v>63.5</v>
      </c>
      <c r="EK306" s="202">
        <v>0</v>
      </c>
      <c r="EL306" s="5"/>
      <c r="FA306" s="251">
        <f t="shared" si="18"/>
        <v>50</v>
      </c>
    </row>
    <row r="307" spans="1:157" s="1" customFormat="1" ht="20.149999999999999" customHeight="1" x14ac:dyDescent="0.35">
      <c r="A307" s="47"/>
      <c r="B307" s="47" t="s">
        <v>1041</v>
      </c>
      <c r="C307" s="47" t="s">
        <v>1408</v>
      </c>
      <c r="D307" s="252" t="s">
        <v>636</v>
      </c>
      <c r="E307" s="2" t="s">
        <v>1580</v>
      </c>
      <c r="F307" s="2" t="s">
        <v>318</v>
      </c>
      <c r="G307" s="375" t="s">
        <v>912</v>
      </c>
      <c r="H307" s="328">
        <f>H306/6</f>
        <v>8.3333333333333339</v>
      </c>
      <c r="I307" s="47"/>
      <c r="J307" s="47"/>
      <c r="K307" s="47"/>
      <c r="L307" s="47"/>
      <c r="M307" s="47"/>
      <c r="N307" s="194"/>
      <c r="O307" s="194"/>
      <c r="P307" s="194"/>
      <c r="Q307" s="194"/>
      <c r="R307" s="47"/>
      <c r="S307" s="194"/>
      <c r="T307" s="47"/>
      <c r="U307" s="194"/>
      <c r="V307" s="47"/>
      <c r="W307" s="194"/>
      <c r="X307" s="47"/>
      <c r="Y307" s="194"/>
      <c r="Z307" s="194"/>
      <c r="AA307" s="47"/>
      <c r="AB307" s="47"/>
      <c r="AC307" s="47"/>
      <c r="AD307" s="47"/>
      <c r="AE307" s="194"/>
      <c r="AF307" s="194">
        <v>11</v>
      </c>
      <c r="AG307" s="194"/>
      <c r="AH307" s="5"/>
      <c r="AI307" s="47"/>
      <c r="AJ307" s="223"/>
      <c r="AK307" s="47"/>
      <c r="AL307" s="47"/>
      <c r="AM307" s="47"/>
      <c r="AN307" s="47"/>
      <c r="AO307" s="47"/>
      <c r="AP307" s="194"/>
      <c r="AQ307" s="47"/>
      <c r="AR307" s="47"/>
      <c r="AS307" s="47">
        <v>11</v>
      </c>
      <c r="AT307" s="194"/>
      <c r="AU307" s="194"/>
      <c r="AV307" s="194"/>
      <c r="AW307" s="194"/>
      <c r="AX307" s="194"/>
      <c r="AY307" s="194"/>
      <c r="AZ307" s="194"/>
      <c r="BA307" s="194"/>
      <c r="BB307" s="194"/>
      <c r="BC307" s="194"/>
      <c r="BD307" s="194"/>
      <c r="BE307" s="194"/>
      <c r="BF307" s="194"/>
      <c r="BG307" s="194"/>
      <c r="BH307" s="194"/>
      <c r="BI307" s="194"/>
      <c r="BJ307" s="194"/>
      <c r="BK307" s="194"/>
      <c r="BL307" s="194"/>
      <c r="BM307" s="194"/>
      <c r="BN307" s="194"/>
      <c r="BO307" s="194"/>
      <c r="BP307" s="194"/>
      <c r="BQ307" s="47">
        <v>11</v>
      </c>
      <c r="BR307" s="194"/>
      <c r="BS307" s="47"/>
      <c r="BT307" s="47"/>
      <c r="BU307" s="47"/>
      <c r="BV307" s="47"/>
      <c r="BW307" s="47"/>
      <c r="BX307" s="194">
        <v>12</v>
      </c>
      <c r="BY307" s="194"/>
      <c r="BZ307" s="194"/>
      <c r="CA307" s="194"/>
      <c r="CB307" s="194"/>
      <c r="CC307" s="47"/>
      <c r="CD307" s="47"/>
      <c r="CE307" s="47"/>
      <c r="CF307" s="47"/>
      <c r="CG307" s="47"/>
      <c r="CH307" s="47"/>
      <c r="CI307" s="47"/>
      <c r="CJ307" s="47"/>
      <c r="CK307" s="224"/>
      <c r="CL307" s="194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194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>
        <v>11</v>
      </c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198"/>
      <c r="DX307" s="47"/>
      <c r="DY307" s="194"/>
      <c r="DZ307" s="47"/>
      <c r="EA307" s="47"/>
      <c r="EB307" s="194"/>
      <c r="EC307" s="47"/>
      <c r="ED307" s="195"/>
      <c r="EE307" s="195"/>
      <c r="EF307" s="195"/>
      <c r="EG307" s="195"/>
      <c r="EH307" s="195">
        <v>2</v>
      </c>
      <c r="EI307" s="196">
        <f t="shared" si="16"/>
        <v>16.666666666666668</v>
      </c>
      <c r="EJ307" s="201">
        <f t="shared" si="17"/>
        <v>10.583333333333334</v>
      </c>
      <c r="EK307" s="202">
        <v>11</v>
      </c>
      <c r="EL307" s="5"/>
      <c r="FA307" s="251">
        <f t="shared" si="18"/>
        <v>8.3333333333333339</v>
      </c>
    </row>
    <row r="308" spans="1:157" s="1" customFormat="1" ht="20.149999999999999" customHeight="1" x14ac:dyDescent="0.35">
      <c r="A308" s="2"/>
      <c r="B308" s="373" t="s">
        <v>1042</v>
      </c>
      <c r="C308" s="373" t="s">
        <v>1582</v>
      </c>
      <c r="D308" s="373"/>
      <c r="E308" s="374" t="s">
        <v>721</v>
      </c>
      <c r="F308" s="374" t="s">
        <v>722</v>
      </c>
      <c r="G308" s="2" t="s">
        <v>32</v>
      </c>
      <c r="H308" s="57">
        <v>45</v>
      </c>
      <c r="I308" s="47"/>
      <c r="J308" s="47"/>
      <c r="K308" s="47"/>
      <c r="L308" s="47"/>
      <c r="M308" s="47"/>
      <c r="N308" s="194"/>
      <c r="O308" s="194"/>
      <c r="P308" s="194"/>
      <c r="Q308" s="194"/>
      <c r="R308" s="47"/>
      <c r="S308" s="194"/>
      <c r="T308" s="47"/>
      <c r="U308" s="194"/>
      <c r="V308" s="47"/>
      <c r="W308" s="194"/>
      <c r="X308" s="47"/>
      <c r="Y308" s="194"/>
      <c r="Z308" s="194"/>
      <c r="AA308" s="47"/>
      <c r="AB308" s="47"/>
      <c r="AC308" s="47"/>
      <c r="AD308" s="47"/>
      <c r="AE308" s="194"/>
      <c r="AF308" s="194"/>
      <c r="AG308" s="194"/>
      <c r="AH308" s="5"/>
      <c r="AI308" s="47"/>
      <c r="AJ308" s="223"/>
      <c r="AK308" s="47"/>
      <c r="AL308" s="47"/>
      <c r="AM308" s="47"/>
      <c r="AN308" s="47"/>
      <c r="AO308" s="47"/>
      <c r="AP308" s="194"/>
      <c r="AQ308" s="47">
        <v>45.5</v>
      </c>
      <c r="AR308" s="47"/>
      <c r="AS308" s="47"/>
      <c r="AT308" s="194"/>
      <c r="AU308" s="194"/>
      <c r="AV308" s="194"/>
      <c r="AW308" s="194"/>
      <c r="AX308" s="194"/>
      <c r="AY308" s="194"/>
      <c r="AZ308" s="194"/>
      <c r="BA308" s="194"/>
      <c r="BB308" s="194"/>
      <c r="BC308" s="194"/>
      <c r="BD308" s="194"/>
      <c r="BE308" s="194"/>
      <c r="BF308" s="194"/>
      <c r="BG308" s="194"/>
      <c r="BH308" s="194"/>
      <c r="BI308" s="194"/>
      <c r="BJ308" s="194"/>
      <c r="BK308" s="194"/>
      <c r="BL308" s="194"/>
      <c r="BM308" s="194"/>
      <c r="BN308" s="194"/>
      <c r="BO308" s="194"/>
      <c r="BP308" s="194"/>
      <c r="BQ308" s="47"/>
      <c r="BR308" s="194"/>
      <c r="BS308" s="47"/>
      <c r="BT308" s="47"/>
      <c r="BU308" s="47"/>
      <c r="BV308" s="47"/>
      <c r="BW308" s="47"/>
      <c r="BX308" s="194"/>
      <c r="BY308" s="194"/>
      <c r="BZ308" s="194"/>
      <c r="CA308" s="194"/>
      <c r="CB308" s="194"/>
      <c r="CC308" s="47"/>
      <c r="CD308" s="47"/>
      <c r="CE308" s="47"/>
      <c r="CF308" s="47"/>
      <c r="CG308" s="47"/>
      <c r="CH308" s="47"/>
      <c r="CI308" s="47"/>
      <c r="CJ308" s="47"/>
      <c r="CK308" s="224"/>
      <c r="CL308" s="194"/>
      <c r="CM308" s="47"/>
      <c r="CN308" s="47"/>
      <c r="CO308" s="47"/>
      <c r="CP308" s="47">
        <v>45.5</v>
      </c>
      <c r="CQ308" s="47"/>
      <c r="CR308" s="47"/>
      <c r="CS308" s="47"/>
      <c r="CT308" s="47"/>
      <c r="CU308" s="47"/>
      <c r="CV308" s="47"/>
      <c r="CW308" s="47"/>
      <c r="CX308" s="194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198"/>
      <c r="DX308" s="47"/>
      <c r="DY308" s="194"/>
      <c r="DZ308" s="47"/>
      <c r="EA308" s="47"/>
      <c r="EB308" s="194"/>
      <c r="EC308" s="47"/>
      <c r="ED308" s="195"/>
      <c r="EE308" s="195"/>
      <c r="EF308" s="195"/>
      <c r="EG308" s="195"/>
      <c r="EH308" s="195">
        <v>2</v>
      </c>
      <c r="EI308" s="196">
        <f t="shared" si="16"/>
        <v>90</v>
      </c>
      <c r="EJ308" s="201">
        <f t="shared" si="17"/>
        <v>57.15</v>
      </c>
      <c r="EK308" s="202">
        <f t="shared" si="19"/>
        <v>45.5</v>
      </c>
      <c r="EL308" s="5"/>
      <c r="FA308" s="251">
        <f t="shared" si="18"/>
        <v>45</v>
      </c>
    </row>
    <row r="309" spans="1:157" s="1" customFormat="1" ht="20.149999999999999" customHeight="1" x14ac:dyDescent="0.35">
      <c r="A309" s="2"/>
      <c r="B309" s="380" t="s">
        <v>1043</v>
      </c>
      <c r="C309" s="373" t="s">
        <v>1582</v>
      </c>
      <c r="D309" s="380"/>
      <c r="E309" s="382" t="s">
        <v>721</v>
      </c>
      <c r="F309" s="382" t="s">
        <v>65</v>
      </c>
      <c r="G309" s="2" t="s">
        <v>1252</v>
      </c>
      <c r="H309" s="57">
        <f>H308/12</f>
        <v>3.75</v>
      </c>
      <c r="I309" s="47"/>
      <c r="J309" s="47"/>
      <c r="K309" s="47"/>
      <c r="L309" s="47"/>
      <c r="M309" s="47"/>
      <c r="N309" s="194"/>
      <c r="O309" s="194"/>
      <c r="P309" s="194"/>
      <c r="Q309" s="194"/>
      <c r="R309" s="47"/>
      <c r="S309" s="194"/>
      <c r="T309" s="47"/>
      <c r="U309" s="194"/>
      <c r="V309" s="47"/>
      <c r="W309" s="194"/>
      <c r="X309" s="47"/>
      <c r="Y309" s="194"/>
      <c r="Z309" s="194"/>
      <c r="AA309" s="47"/>
      <c r="AB309" s="47"/>
      <c r="AC309" s="47"/>
      <c r="AD309" s="47"/>
      <c r="AE309" s="194"/>
      <c r="AF309" s="194"/>
      <c r="AG309" s="194"/>
      <c r="AH309" s="5"/>
      <c r="AI309" s="47"/>
      <c r="AJ309" s="223"/>
      <c r="AK309" s="47"/>
      <c r="AL309" s="47"/>
      <c r="AM309" s="47"/>
      <c r="AN309" s="47"/>
      <c r="AO309" s="47"/>
      <c r="AP309" s="194"/>
      <c r="AQ309" s="47">
        <v>4.0999999999999996</v>
      </c>
      <c r="AR309" s="47"/>
      <c r="AS309" s="47"/>
      <c r="AT309" s="194"/>
      <c r="AU309" s="194"/>
      <c r="AV309" s="194"/>
      <c r="AW309" s="194"/>
      <c r="AX309" s="194"/>
      <c r="AY309" s="194"/>
      <c r="AZ309" s="194"/>
      <c r="BA309" s="194"/>
      <c r="BB309" s="194"/>
      <c r="BC309" s="194"/>
      <c r="BD309" s="194"/>
      <c r="BE309" s="194"/>
      <c r="BF309" s="194"/>
      <c r="BG309" s="194"/>
      <c r="BH309" s="194"/>
      <c r="BI309" s="194"/>
      <c r="BJ309" s="194"/>
      <c r="BK309" s="194"/>
      <c r="BL309" s="194"/>
      <c r="BM309" s="194"/>
      <c r="BN309" s="194"/>
      <c r="BO309" s="194"/>
      <c r="BP309" s="194"/>
      <c r="BQ309" s="47"/>
      <c r="BR309" s="194"/>
      <c r="BS309" s="47"/>
      <c r="BT309" s="47"/>
      <c r="BU309" s="47"/>
      <c r="BV309" s="47"/>
      <c r="BW309" s="47"/>
      <c r="BX309" s="194"/>
      <c r="BY309" s="194"/>
      <c r="BZ309" s="194"/>
      <c r="CA309" s="194"/>
      <c r="CB309" s="194"/>
      <c r="CC309" s="47"/>
      <c r="CD309" s="47"/>
      <c r="CE309" s="47"/>
      <c r="CF309" s="47"/>
      <c r="CG309" s="47"/>
      <c r="CH309" s="47"/>
      <c r="CI309" s="47"/>
      <c r="CJ309" s="47"/>
      <c r="CK309" s="224"/>
      <c r="CL309" s="194"/>
      <c r="CM309" s="47"/>
      <c r="CN309" s="47"/>
      <c r="CO309" s="47"/>
      <c r="CP309" s="47">
        <v>4.5</v>
      </c>
      <c r="CQ309" s="47"/>
      <c r="CR309" s="47"/>
      <c r="CS309" s="47"/>
      <c r="CT309" s="47"/>
      <c r="CU309" s="47"/>
      <c r="CV309" s="47"/>
      <c r="CW309" s="47"/>
      <c r="CX309" s="194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198"/>
      <c r="DX309" s="47"/>
      <c r="DY309" s="194"/>
      <c r="DZ309" s="47"/>
      <c r="EA309" s="47"/>
      <c r="EB309" s="194"/>
      <c r="EC309" s="47"/>
      <c r="ED309" s="195"/>
      <c r="EE309" s="195"/>
      <c r="EF309" s="195"/>
      <c r="EG309" s="195"/>
      <c r="EH309" s="195">
        <v>11</v>
      </c>
      <c r="EI309" s="196">
        <f t="shared" si="16"/>
        <v>41.25</v>
      </c>
      <c r="EJ309" s="201">
        <f t="shared" si="17"/>
        <v>4.7625000000000002</v>
      </c>
      <c r="EK309" s="202">
        <f t="shared" si="19"/>
        <v>4.3</v>
      </c>
      <c r="EL309" s="5"/>
      <c r="FA309" s="251">
        <f t="shared" si="18"/>
        <v>3.75</v>
      </c>
    </row>
    <row r="310" spans="1:157" s="1" customFormat="1" ht="20.149999999999999" customHeight="1" x14ac:dyDescent="0.35">
      <c r="A310" s="47"/>
      <c r="B310" s="47" t="s">
        <v>1044</v>
      </c>
      <c r="C310" s="47" t="s">
        <v>1423</v>
      </c>
      <c r="D310" s="252" t="s">
        <v>770</v>
      </c>
      <c r="E310" s="2" t="s">
        <v>771</v>
      </c>
      <c r="F310" s="2" t="s">
        <v>1583</v>
      </c>
      <c r="G310" s="375" t="s">
        <v>32</v>
      </c>
      <c r="H310" s="328">
        <v>52</v>
      </c>
      <c r="I310" s="47"/>
      <c r="J310" s="47"/>
      <c r="K310" s="47"/>
      <c r="L310" s="47"/>
      <c r="M310" s="47"/>
      <c r="N310" s="194"/>
      <c r="O310" s="194"/>
      <c r="P310" s="194"/>
      <c r="Q310" s="194"/>
      <c r="R310" s="194">
        <v>60</v>
      </c>
      <c r="S310" s="194"/>
      <c r="T310" s="47"/>
      <c r="U310" s="194"/>
      <c r="V310" s="47"/>
      <c r="W310" s="194"/>
      <c r="X310" s="47"/>
      <c r="Y310" s="194"/>
      <c r="Z310" s="194"/>
      <c r="AA310" s="47"/>
      <c r="AB310" s="47"/>
      <c r="AC310" s="47"/>
      <c r="AD310" s="47"/>
      <c r="AE310" s="194"/>
      <c r="AF310" s="194"/>
      <c r="AG310" s="194"/>
      <c r="AH310" s="5"/>
      <c r="AI310" s="47"/>
      <c r="AJ310" s="198"/>
      <c r="AK310" s="47">
        <v>60</v>
      </c>
      <c r="AL310" s="47"/>
      <c r="AM310" s="47"/>
      <c r="AN310" s="47"/>
      <c r="AO310" s="47">
        <v>60</v>
      </c>
      <c r="AP310" s="194"/>
      <c r="AQ310" s="47"/>
      <c r="AR310" s="47"/>
      <c r="AS310" s="47">
        <v>60</v>
      </c>
      <c r="AT310" s="194">
        <v>60</v>
      </c>
      <c r="AU310" s="194"/>
      <c r="AV310" s="194"/>
      <c r="AW310" s="194"/>
      <c r="AX310" s="194"/>
      <c r="AY310" s="194"/>
      <c r="AZ310" s="194"/>
      <c r="BA310" s="194"/>
      <c r="BB310" s="194"/>
      <c r="BC310" s="194"/>
      <c r="BD310" s="194"/>
      <c r="BE310" s="194"/>
      <c r="BF310" s="194"/>
      <c r="BG310" s="194"/>
      <c r="BH310" s="194">
        <v>60</v>
      </c>
      <c r="BI310" s="194">
        <v>60</v>
      </c>
      <c r="BJ310" s="194"/>
      <c r="BK310" s="194"/>
      <c r="BL310" s="194"/>
      <c r="BM310" s="194">
        <v>60</v>
      </c>
      <c r="BN310" s="194"/>
      <c r="BO310" s="194">
        <v>60</v>
      </c>
      <c r="BP310" s="194">
        <v>60</v>
      </c>
      <c r="BQ310" s="47"/>
      <c r="BR310" s="194"/>
      <c r="BS310" s="47">
        <v>60</v>
      </c>
      <c r="BT310" s="47">
        <v>60</v>
      </c>
      <c r="BU310" s="47"/>
      <c r="BV310" s="47"/>
      <c r="BW310" s="47"/>
      <c r="BX310" s="194">
        <v>60</v>
      </c>
      <c r="BY310" s="194"/>
      <c r="BZ310" s="194"/>
      <c r="CA310" s="194"/>
      <c r="CB310" s="194">
        <v>60</v>
      </c>
      <c r="CC310" s="47"/>
      <c r="CD310" s="47"/>
      <c r="CE310" s="47"/>
      <c r="CF310" s="47"/>
      <c r="CG310" s="47"/>
      <c r="CH310" s="47"/>
      <c r="CI310" s="47"/>
      <c r="CJ310" s="47"/>
      <c r="CK310" s="47"/>
      <c r="CL310" s="194"/>
      <c r="CM310" s="47"/>
      <c r="CN310" s="47"/>
      <c r="CO310" s="47">
        <v>60</v>
      </c>
      <c r="CP310" s="47">
        <v>60</v>
      </c>
      <c r="CQ310" s="47">
        <v>60</v>
      </c>
      <c r="CR310" s="47">
        <v>60</v>
      </c>
      <c r="CS310" s="198">
        <v>60</v>
      </c>
      <c r="CT310" s="47">
        <v>60</v>
      </c>
      <c r="CU310" s="47"/>
      <c r="CV310" s="47"/>
      <c r="CW310" s="47"/>
      <c r="CX310" s="194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>
        <v>60</v>
      </c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198"/>
      <c r="DX310" s="47"/>
      <c r="DY310" s="194"/>
      <c r="DZ310" s="47"/>
      <c r="EA310" s="47"/>
      <c r="EB310" s="194"/>
      <c r="EC310" s="47"/>
      <c r="ED310" s="195"/>
      <c r="EE310" s="195"/>
      <c r="EF310" s="195"/>
      <c r="EG310" s="195"/>
      <c r="EH310" s="195">
        <v>18</v>
      </c>
      <c r="EI310" s="196">
        <f t="shared" si="16"/>
        <v>936</v>
      </c>
      <c r="EJ310" s="201">
        <f t="shared" si="17"/>
        <v>66.040000000000006</v>
      </c>
      <c r="EK310" s="202">
        <v>52.8</v>
      </c>
      <c r="EL310" s="5"/>
      <c r="FA310" s="251">
        <f t="shared" si="18"/>
        <v>52</v>
      </c>
    </row>
    <row r="311" spans="1:157" s="1" customFormat="1" ht="20.149999999999999" customHeight="1" x14ac:dyDescent="0.35">
      <c r="A311" s="47"/>
      <c r="B311" s="383" t="s">
        <v>1045</v>
      </c>
      <c r="C311" s="47" t="s">
        <v>1423</v>
      </c>
      <c r="D311" s="384" t="s">
        <v>770</v>
      </c>
      <c r="E311" s="385" t="s">
        <v>771</v>
      </c>
      <c r="F311" s="385" t="s">
        <v>394</v>
      </c>
      <c r="G311" s="2" t="s">
        <v>395</v>
      </c>
      <c r="H311" s="328">
        <f>H310/48</f>
        <v>1.0833333333333333</v>
      </c>
      <c r="I311" s="47"/>
      <c r="J311" s="47"/>
      <c r="K311" s="47"/>
      <c r="L311" s="47"/>
      <c r="M311" s="47"/>
      <c r="N311" s="194"/>
      <c r="O311" s="194"/>
      <c r="P311" s="194"/>
      <c r="Q311" s="194"/>
      <c r="R311" s="47"/>
      <c r="S311" s="194"/>
      <c r="T311" s="47"/>
      <c r="U311" s="194"/>
      <c r="V311" s="47"/>
      <c r="W311" s="194"/>
      <c r="X311" s="47">
        <v>1.3</v>
      </c>
      <c r="Y311" s="194"/>
      <c r="Z311" s="194"/>
      <c r="AA311" s="47"/>
      <c r="AB311" s="47"/>
      <c r="AC311" s="47"/>
      <c r="AD311" s="47"/>
      <c r="AE311" s="194"/>
      <c r="AF311" s="194"/>
      <c r="AG311" s="194"/>
      <c r="AH311" s="5"/>
      <c r="AI311" s="47"/>
      <c r="AJ311" s="198"/>
      <c r="AK311" s="47">
        <v>1.35</v>
      </c>
      <c r="AL311" s="47"/>
      <c r="AM311" s="47"/>
      <c r="AN311" s="47"/>
      <c r="AO311" s="47"/>
      <c r="AP311" s="194"/>
      <c r="AQ311" s="47"/>
      <c r="AR311" s="47"/>
      <c r="AS311" s="47"/>
      <c r="AT311" s="194"/>
      <c r="AU311" s="194"/>
      <c r="AV311" s="194"/>
      <c r="AW311" s="194"/>
      <c r="AX311" s="198">
        <v>1.35</v>
      </c>
      <c r="AY311" s="194"/>
      <c r="AZ311" s="194"/>
      <c r="BA311" s="194"/>
      <c r="BB311" s="194"/>
      <c r="BC311" s="194"/>
      <c r="BD311" s="194"/>
      <c r="BE311" s="194"/>
      <c r="BF311" s="194"/>
      <c r="BG311" s="194"/>
      <c r="BH311" s="194"/>
      <c r="BI311" s="194"/>
      <c r="BJ311" s="194"/>
      <c r="BK311" s="194"/>
      <c r="BL311" s="194"/>
      <c r="BM311" s="194"/>
      <c r="BN311" s="194"/>
      <c r="BO311" s="194"/>
      <c r="BP311" s="194"/>
      <c r="BQ311" s="47"/>
      <c r="BR311" s="194"/>
      <c r="BS311" s="47"/>
      <c r="BT311" s="47"/>
      <c r="BU311" s="47"/>
      <c r="BV311" s="47"/>
      <c r="BW311" s="47"/>
      <c r="BX311" s="194"/>
      <c r="BY311" s="194"/>
      <c r="BZ311" s="194">
        <v>1.35</v>
      </c>
      <c r="CA311" s="194"/>
      <c r="CB311" s="194"/>
      <c r="CC311" s="47"/>
      <c r="CD311" s="47"/>
      <c r="CE311" s="47"/>
      <c r="CF311" s="47"/>
      <c r="CG311" s="47"/>
      <c r="CH311" s="47"/>
      <c r="CI311" s="47"/>
      <c r="CJ311" s="47"/>
      <c r="CK311" s="47"/>
      <c r="CL311" s="194">
        <v>1.35</v>
      </c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194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>
        <v>1.3</v>
      </c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198"/>
      <c r="DX311" s="47"/>
      <c r="DY311" s="194"/>
      <c r="DZ311" s="47"/>
      <c r="EA311" s="47"/>
      <c r="EB311" s="194"/>
      <c r="EC311" s="47"/>
      <c r="ED311" s="195"/>
      <c r="EE311" s="195"/>
      <c r="EF311" s="195"/>
      <c r="EG311" s="195"/>
      <c r="EH311" s="195"/>
      <c r="EI311" s="196">
        <f t="shared" si="16"/>
        <v>0</v>
      </c>
      <c r="EJ311" s="201">
        <f t="shared" si="17"/>
        <v>1.3758333333333332</v>
      </c>
      <c r="EK311" s="202">
        <f t="shared" si="19"/>
        <v>1.3333333333333333</v>
      </c>
      <c r="EL311" s="5"/>
      <c r="FA311" s="251">
        <f t="shared" si="18"/>
        <v>1.0833333333333333</v>
      </c>
    </row>
    <row r="312" spans="1:157" s="1" customFormat="1" ht="20.149999999999999" customHeight="1" x14ac:dyDescent="0.35">
      <c r="A312" s="47"/>
      <c r="B312" s="47" t="s">
        <v>1046</v>
      </c>
      <c r="C312" s="47" t="s">
        <v>1424</v>
      </c>
      <c r="D312" s="252" t="s">
        <v>770</v>
      </c>
      <c r="E312" s="2" t="s">
        <v>376</v>
      </c>
      <c r="F312" s="2" t="s">
        <v>1584</v>
      </c>
      <c r="G312" s="375" t="s">
        <v>32</v>
      </c>
      <c r="H312" s="328">
        <v>49.5</v>
      </c>
      <c r="I312" s="47"/>
      <c r="J312" s="47"/>
      <c r="K312" s="47"/>
      <c r="L312" s="47"/>
      <c r="M312" s="47">
        <v>58</v>
      </c>
      <c r="N312" s="194"/>
      <c r="O312" s="194"/>
      <c r="P312" s="194"/>
      <c r="Q312" s="194">
        <v>60</v>
      </c>
      <c r="R312" s="194">
        <v>60</v>
      </c>
      <c r="S312" s="194"/>
      <c r="T312" s="47"/>
      <c r="U312" s="194"/>
      <c r="V312" s="47"/>
      <c r="W312" s="194"/>
      <c r="X312" s="47"/>
      <c r="Y312" s="194"/>
      <c r="Z312" s="194"/>
      <c r="AA312" s="47"/>
      <c r="AB312" s="47">
        <v>60</v>
      </c>
      <c r="AC312" s="47"/>
      <c r="AD312" s="47"/>
      <c r="AE312" s="194"/>
      <c r="AF312" s="194"/>
      <c r="AG312" s="194"/>
      <c r="AH312" s="5"/>
      <c r="AI312" s="47"/>
      <c r="AJ312" s="198"/>
      <c r="AK312" s="47"/>
      <c r="AL312" s="47"/>
      <c r="AM312" s="47"/>
      <c r="AN312" s="47"/>
      <c r="AO312" s="47"/>
      <c r="AP312" s="194"/>
      <c r="AQ312" s="47"/>
      <c r="AR312" s="47"/>
      <c r="AS312" s="47"/>
      <c r="AT312" s="194"/>
      <c r="AU312" s="194"/>
      <c r="AV312" s="194"/>
      <c r="AW312" s="194"/>
      <c r="AX312" s="194"/>
      <c r="AY312" s="194"/>
      <c r="AZ312" s="194"/>
      <c r="BA312" s="194"/>
      <c r="BB312" s="194"/>
      <c r="BC312" s="194"/>
      <c r="BD312" s="194"/>
      <c r="BE312" s="194"/>
      <c r="BF312" s="194"/>
      <c r="BG312" s="194"/>
      <c r="BH312" s="194"/>
      <c r="BI312" s="194"/>
      <c r="BJ312" s="194"/>
      <c r="BK312" s="194"/>
      <c r="BL312" s="194"/>
      <c r="BM312" s="194"/>
      <c r="BN312" s="194"/>
      <c r="BO312" s="194">
        <v>60</v>
      </c>
      <c r="BP312" s="194">
        <v>60</v>
      </c>
      <c r="BQ312" s="47"/>
      <c r="BR312" s="194"/>
      <c r="BS312" s="47"/>
      <c r="BT312" s="47"/>
      <c r="BU312" s="47"/>
      <c r="BV312" s="47"/>
      <c r="BW312" s="47"/>
      <c r="BX312" s="194"/>
      <c r="BY312" s="194"/>
      <c r="BZ312" s="194"/>
      <c r="CA312" s="194"/>
      <c r="CB312" s="194">
        <v>60</v>
      </c>
      <c r="CC312" s="47"/>
      <c r="CD312" s="47"/>
      <c r="CE312" s="47"/>
      <c r="CF312" s="47"/>
      <c r="CG312" s="47"/>
      <c r="CH312" s="47"/>
      <c r="CI312" s="47"/>
      <c r="CJ312" s="47"/>
      <c r="CK312" s="47"/>
      <c r="CL312" s="194"/>
      <c r="CM312" s="47"/>
      <c r="CN312" s="47"/>
      <c r="CO312" s="47"/>
      <c r="CP312" s="47"/>
      <c r="CQ312" s="47"/>
      <c r="CR312" s="47">
        <v>60</v>
      </c>
      <c r="CS312" s="198">
        <v>60</v>
      </c>
      <c r="CT312" s="47">
        <v>60</v>
      </c>
      <c r="CU312" s="47"/>
      <c r="CV312" s="47"/>
      <c r="CW312" s="47"/>
      <c r="CX312" s="194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198">
        <v>60</v>
      </c>
      <c r="DX312" s="47"/>
      <c r="DY312" s="194">
        <v>60</v>
      </c>
      <c r="DZ312" s="47"/>
      <c r="EA312" s="47"/>
      <c r="EB312" s="194">
        <v>60</v>
      </c>
      <c r="EC312" s="47"/>
      <c r="ED312" s="195"/>
      <c r="EE312" s="195"/>
      <c r="EF312" s="195"/>
      <c r="EG312" s="195"/>
      <c r="EH312" s="195">
        <v>1</v>
      </c>
      <c r="EI312" s="196">
        <f t="shared" si="16"/>
        <v>49.5</v>
      </c>
      <c r="EJ312" s="201">
        <f t="shared" si="17"/>
        <v>62.865000000000002</v>
      </c>
      <c r="EK312" s="202">
        <v>48</v>
      </c>
      <c r="EL312" s="5"/>
      <c r="FA312" s="251">
        <f t="shared" si="18"/>
        <v>49.5</v>
      </c>
    </row>
    <row r="313" spans="1:157" s="1" customFormat="1" ht="20.149999999999999" customHeight="1" x14ac:dyDescent="0.35">
      <c r="A313" s="47"/>
      <c r="B313" s="383" t="s">
        <v>1047</v>
      </c>
      <c r="C313" s="383" t="s">
        <v>1424</v>
      </c>
      <c r="D313" s="384" t="s">
        <v>770</v>
      </c>
      <c r="E313" s="385" t="s">
        <v>376</v>
      </c>
      <c r="F313" s="385" t="s">
        <v>1321</v>
      </c>
      <c r="G313" s="2" t="s">
        <v>32</v>
      </c>
      <c r="H313" s="328">
        <f>H312/48</f>
        <v>1.03125</v>
      </c>
      <c r="I313" s="47"/>
      <c r="J313" s="47"/>
      <c r="K313" s="47"/>
      <c r="L313" s="47"/>
      <c r="M313" s="47"/>
      <c r="N313" s="194"/>
      <c r="O313" s="194"/>
      <c r="P313" s="194"/>
      <c r="Q313" s="194"/>
      <c r="R313" s="47"/>
      <c r="S313" s="194"/>
      <c r="T313" s="47"/>
      <c r="U313" s="194"/>
      <c r="V313" s="47"/>
      <c r="W313" s="194"/>
      <c r="X313" s="47"/>
      <c r="Y313" s="194"/>
      <c r="Z313" s="194"/>
      <c r="AA313" s="47"/>
      <c r="AB313" s="47">
        <v>1.3</v>
      </c>
      <c r="AC313" s="47"/>
      <c r="AD313" s="47">
        <v>1.3</v>
      </c>
      <c r="AE313" s="194"/>
      <c r="AF313" s="194"/>
      <c r="AG313" s="194"/>
      <c r="AH313" s="5">
        <v>1.25</v>
      </c>
      <c r="AI313" s="47"/>
      <c r="AJ313" s="198"/>
      <c r="AK313" s="47"/>
      <c r="AL313" s="47"/>
      <c r="AM313" s="47"/>
      <c r="AN313" s="47"/>
      <c r="AO313" s="47"/>
      <c r="AP313" s="194"/>
      <c r="AQ313" s="47"/>
      <c r="AR313" s="47">
        <v>1.3</v>
      </c>
      <c r="AS313" s="47"/>
      <c r="AT313" s="194"/>
      <c r="AU313" s="194"/>
      <c r="AV313" s="194"/>
      <c r="AW313" s="194"/>
      <c r="AX313" s="194"/>
      <c r="AY313" s="194"/>
      <c r="AZ313" s="194"/>
      <c r="BA313" s="194"/>
      <c r="BB313" s="194"/>
      <c r="BC313" s="194"/>
      <c r="BD313" s="194"/>
      <c r="BE313" s="194"/>
      <c r="BF313" s="194"/>
      <c r="BG313" s="194"/>
      <c r="BH313" s="194"/>
      <c r="BI313" s="194"/>
      <c r="BJ313" s="194"/>
      <c r="BK313" s="194"/>
      <c r="BL313" s="194"/>
      <c r="BM313" s="194"/>
      <c r="BN313" s="194"/>
      <c r="BO313" s="194"/>
      <c r="BP313" s="194"/>
      <c r="BQ313" s="47"/>
      <c r="BR313" s="194"/>
      <c r="BS313" s="47"/>
      <c r="BT313" s="47"/>
      <c r="BU313" s="47"/>
      <c r="BV313" s="47"/>
      <c r="BW313" s="47"/>
      <c r="BX313" s="194"/>
      <c r="BY313" s="194"/>
      <c r="BZ313" s="194"/>
      <c r="CA313" s="194"/>
      <c r="CB313" s="194"/>
      <c r="CC313" s="47"/>
      <c r="CD313" s="47"/>
      <c r="CE313" s="47"/>
      <c r="CF313" s="47"/>
      <c r="CG313" s="47"/>
      <c r="CH313" s="47"/>
      <c r="CI313" s="47"/>
      <c r="CJ313" s="47"/>
      <c r="CK313" s="47"/>
      <c r="CL313" s="194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194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>
        <v>1.3</v>
      </c>
      <c r="DV313" s="47"/>
      <c r="DW313" s="198"/>
      <c r="DX313" s="47"/>
      <c r="DY313" s="194"/>
      <c r="DZ313" s="47"/>
      <c r="EA313" s="47"/>
      <c r="EB313" s="194"/>
      <c r="EC313" s="47"/>
      <c r="ED313" s="195"/>
      <c r="EE313" s="195"/>
      <c r="EF313" s="195"/>
      <c r="EG313" s="195"/>
      <c r="EH313" s="195"/>
      <c r="EI313" s="196">
        <f t="shared" si="16"/>
        <v>0</v>
      </c>
      <c r="EJ313" s="201">
        <f t="shared" si="17"/>
        <v>1.3096875000000001</v>
      </c>
      <c r="EK313" s="202">
        <f t="shared" si="19"/>
        <v>1.29</v>
      </c>
      <c r="EL313" s="5"/>
      <c r="FA313" s="251">
        <f t="shared" si="18"/>
        <v>1.03125</v>
      </c>
    </row>
    <row r="314" spans="1:157" s="1" customFormat="1" ht="20.149999999999999" customHeight="1" x14ac:dyDescent="0.35">
      <c r="A314" s="47"/>
      <c r="B314" s="47" t="s">
        <v>1048</v>
      </c>
      <c r="C314" s="47" t="s">
        <v>1154</v>
      </c>
      <c r="D314" s="252" t="s">
        <v>770</v>
      </c>
      <c r="E314" s="2" t="s">
        <v>393</v>
      </c>
      <c r="F314" s="2" t="s">
        <v>1585</v>
      </c>
      <c r="G314" s="375" t="s">
        <v>32</v>
      </c>
      <c r="H314" s="328">
        <v>39</v>
      </c>
      <c r="I314" s="47"/>
      <c r="J314" s="47"/>
      <c r="K314" s="47"/>
      <c r="L314" s="47"/>
      <c r="M314" s="47"/>
      <c r="N314" s="194"/>
      <c r="O314" s="194"/>
      <c r="P314" s="194"/>
      <c r="Q314" s="194"/>
      <c r="R314" s="194">
        <v>50</v>
      </c>
      <c r="S314" s="194"/>
      <c r="T314" s="47"/>
      <c r="U314" s="194"/>
      <c r="V314" s="47"/>
      <c r="W314" s="194"/>
      <c r="X314" s="47"/>
      <c r="Y314" s="194"/>
      <c r="Z314" s="194"/>
      <c r="AA314" s="47"/>
      <c r="AB314" s="47"/>
      <c r="AC314" s="47"/>
      <c r="AD314" s="47"/>
      <c r="AE314" s="194"/>
      <c r="AF314" s="194"/>
      <c r="AG314" s="194"/>
      <c r="AH314" s="5"/>
      <c r="AI314" s="47"/>
      <c r="AJ314" s="198"/>
      <c r="AK314" s="47">
        <v>50</v>
      </c>
      <c r="AL314" s="47"/>
      <c r="AM314" s="47"/>
      <c r="AN314" s="47"/>
      <c r="AO314" s="47"/>
      <c r="AP314" s="194"/>
      <c r="AQ314" s="47"/>
      <c r="AR314" s="47"/>
      <c r="AS314" s="47"/>
      <c r="AT314" s="194"/>
      <c r="AU314" s="194"/>
      <c r="AV314" s="194"/>
      <c r="AW314" s="194"/>
      <c r="AX314" s="194"/>
      <c r="AY314" s="194"/>
      <c r="AZ314" s="194"/>
      <c r="BA314" s="194"/>
      <c r="BB314" s="194"/>
      <c r="BC314" s="194"/>
      <c r="BD314" s="194"/>
      <c r="BE314" s="194"/>
      <c r="BF314" s="194"/>
      <c r="BG314" s="194"/>
      <c r="BH314" s="194"/>
      <c r="BI314" s="194"/>
      <c r="BJ314" s="194"/>
      <c r="BK314" s="194"/>
      <c r="BL314" s="194"/>
      <c r="BM314" s="194"/>
      <c r="BN314" s="194"/>
      <c r="BO314" s="194"/>
      <c r="BP314" s="194"/>
      <c r="BQ314" s="47"/>
      <c r="BR314" s="194"/>
      <c r="BS314" s="47"/>
      <c r="BT314" s="47"/>
      <c r="BU314" s="47"/>
      <c r="BV314" s="47"/>
      <c r="BW314" s="47"/>
      <c r="BX314" s="194"/>
      <c r="BY314" s="194"/>
      <c r="BZ314" s="194"/>
      <c r="CA314" s="194"/>
      <c r="CB314" s="194"/>
      <c r="CC314" s="47"/>
      <c r="CD314" s="47"/>
      <c r="CE314" s="47"/>
      <c r="CF314" s="47"/>
      <c r="CG314" s="47"/>
      <c r="CH314" s="47"/>
      <c r="CI314" s="47"/>
      <c r="CJ314" s="47"/>
      <c r="CK314" s="47"/>
      <c r="CL314" s="194"/>
      <c r="CM314" s="47"/>
      <c r="CN314" s="47"/>
      <c r="CO314" s="47">
        <v>50</v>
      </c>
      <c r="CP314" s="47">
        <v>50</v>
      </c>
      <c r="CQ314" s="47"/>
      <c r="CR314" s="47"/>
      <c r="CS314" s="47"/>
      <c r="CT314" s="47">
        <v>52</v>
      </c>
      <c r="CU314" s="47"/>
      <c r="CV314" s="47"/>
      <c r="CW314" s="47"/>
      <c r="CX314" s="194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198">
        <v>50</v>
      </c>
      <c r="DX314" s="47"/>
      <c r="DY314" s="194">
        <v>50</v>
      </c>
      <c r="DZ314" s="47"/>
      <c r="EA314" s="47"/>
      <c r="EB314" s="194"/>
      <c r="EC314" s="47"/>
      <c r="ED314" s="195"/>
      <c r="EE314" s="195"/>
      <c r="EF314" s="195"/>
      <c r="EG314" s="195"/>
      <c r="EH314" s="195">
        <v>1</v>
      </c>
      <c r="EI314" s="196">
        <f t="shared" si="16"/>
        <v>39</v>
      </c>
      <c r="EJ314" s="201">
        <f t="shared" si="17"/>
        <v>49.53</v>
      </c>
      <c r="EK314" s="202">
        <v>42</v>
      </c>
      <c r="EL314" s="5"/>
      <c r="FA314" s="251">
        <f t="shared" si="18"/>
        <v>39</v>
      </c>
    </row>
    <row r="315" spans="1:157" s="1" customFormat="1" ht="20.149999999999999" customHeight="1" x14ac:dyDescent="0.35">
      <c r="A315" s="47"/>
      <c r="B315" s="373" t="s">
        <v>1049</v>
      </c>
      <c r="C315" s="373" t="s">
        <v>1154</v>
      </c>
      <c r="D315" s="386" t="s">
        <v>770</v>
      </c>
      <c r="E315" s="374" t="s">
        <v>393</v>
      </c>
      <c r="F315" s="374" t="s">
        <v>1586</v>
      </c>
      <c r="G315" s="2" t="s">
        <v>912</v>
      </c>
      <c r="H315" s="328">
        <f>H314/48</f>
        <v>0.8125</v>
      </c>
      <c r="I315" s="47"/>
      <c r="J315" s="47"/>
      <c r="K315" s="47"/>
      <c r="L315" s="47"/>
      <c r="M315" s="47"/>
      <c r="N315" s="194"/>
      <c r="O315" s="194"/>
      <c r="P315" s="194"/>
      <c r="Q315" s="194"/>
      <c r="R315" s="47"/>
      <c r="S315" s="194"/>
      <c r="T315" s="47"/>
      <c r="U315" s="194"/>
      <c r="V315" s="47"/>
      <c r="W315" s="194"/>
      <c r="X315" s="47"/>
      <c r="Y315" s="194"/>
      <c r="Z315" s="194"/>
      <c r="AA315" s="47"/>
      <c r="AB315" s="47"/>
      <c r="AC315" s="47"/>
      <c r="AD315" s="47">
        <v>1.1000000000000001</v>
      </c>
      <c r="AE315" s="194"/>
      <c r="AF315" s="194"/>
      <c r="AG315" s="194"/>
      <c r="AH315" s="5"/>
      <c r="AI315" s="47"/>
      <c r="AJ315" s="198"/>
      <c r="AK315" s="47"/>
      <c r="AL315" s="47"/>
      <c r="AM315" s="47"/>
      <c r="AN315" s="47"/>
      <c r="AO315" s="47"/>
      <c r="AP315" s="194"/>
      <c r="AQ315" s="47"/>
      <c r="AR315" s="47"/>
      <c r="AS315" s="47"/>
      <c r="AT315" s="194"/>
      <c r="AU315" s="194"/>
      <c r="AV315" s="194"/>
      <c r="AW315" s="194"/>
      <c r="AX315" s="194"/>
      <c r="AY315" s="194"/>
      <c r="AZ315" s="194"/>
      <c r="BA315" s="194"/>
      <c r="BB315" s="194"/>
      <c r="BC315" s="194"/>
      <c r="BD315" s="194"/>
      <c r="BE315" s="194"/>
      <c r="BF315" s="194"/>
      <c r="BG315" s="194"/>
      <c r="BH315" s="194"/>
      <c r="BI315" s="194"/>
      <c r="BJ315" s="194"/>
      <c r="BK315" s="194"/>
      <c r="BL315" s="194"/>
      <c r="BM315" s="194"/>
      <c r="BN315" s="194"/>
      <c r="BO315" s="194"/>
      <c r="BP315" s="194"/>
      <c r="BQ315" s="47"/>
      <c r="BR315" s="194"/>
      <c r="BS315" s="47"/>
      <c r="BT315" s="47"/>
      <c r="BU315" s="47"/>
      <c r="BV315" s="47"/>
      <c r="BW315" s="47"/>
      <c r="BX315" s="194"/>
      <c r="BY315" s="194"/>
      <c r="BZ315" s="194"/>
      <c r="CA315" s="194"/>
      <c r="CB315" s="194"/>
      <c r="CC315" s="47"/>
      <c r="CD315" s="47"/>
      <c r="CE315" s="47"/>
      <c r="CF315" s="47"/>
      <c r="CG315" s="47"/>
      <c r="CH315" s="47"/>
      <c r="CI315" s="47">
        <v>1.1499999999999999</v>
      </c>
      <c r="CJ315" s="47"/>
      <c r="CK315" s="47"/>
      <c r="CL315" s="194"/>
      <c r="CM315" s="47"/>
      <c r="CN315" s="47"/>
      <c r="CO315" s="47"/>
      <c r="CP315" s="47">
        <v>1.1000000000000001</v>
      </c>
      <c r="CQ315" s="47"/>
      <c r="CR315" s="47"/>
      <c r="CS315" s="47"/>
      <c r="CT315" s="47"/>
      <c r="CU315" s="47"/>
      <c r="CV315" s="47"/>
      <c r="CW315" s="47"/>
      <c r="CX315" s="194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>
        <v>1.1000000000000001</v>
      </c>
      <c r="DS315" s="47"/>
      <c r="DT315" s="47"/>
      <c r="DU315" s="47">
        <v>1.1000000000000001</v>
      </c>
      <c r="DV315" s="47"/>
      <c r="DW315" s="198"/>
      <c r="DX315" s="47"/>
      <c r="DY315" s="194"/>
      <c r="DZ315" s="47"/>
      <c r="EA315" s="47"/>
      <c r="EB315" s="194"/>
      <c r="EC315" s="47"/>
      <c r="ED315" s="195"/>
      <c r="EE315" s="195"/>
      <c r="EF315" s="195"/>
      <c r="EG315" s="195"/>
      <c r="EH315" s="195">
        <v>32</v>
      </c>
      <c r="EI315" s="196">
        <f t="shared" si="16"/>
        <v>26</v>
      </c>
      <c r="EJ315" s="201">
        <f t="shared" si="17"/>
        <v>1.0318750000000001</v>
      </c>
      <c r="EK315" s="202">
        <f t="shared" si="19"/>
        <v>1.1100000000000001</v>
      </c>
      <c r="EL315" s="5"/>
      <c r="FA315" s="251">
        <f t="shared" si="18"/>
        <v>0.8125</v>
      </c>
    </row>
    <row r="316" spans="1:157" s="89" customFormat="1" ht="20.149999999999999" customHeight="1" x14ac:dyDescent="0.35">
      <c r="A316" s="47"/>
      <c r="B316" s="47" t="s">
        <v>1050</v>
      </c>
      <c r="C316" s="47" t="s">
        <v>1587</v>
      </c>
      <c r="D316" s="252" t="s">
        <v>56</v>
      </c>
      <c r="E316" s="2" t="s">
        <v>376</v>
      </c>
      <c r="F316" s="2" t="s">
        <v>1588</v>
      </c>
      <c r="G316" s="2" t="s">
        <v>32</v>
      </c>
      <c r="H316" s="223"/>
      <c r="I316" s="47"/>
      <c r="J316" s="47"/>
      <c r="K316" s="47"/>
      <c r="L316" s="47"/>
      <c r="M316" s="47"/>
      <c r="N316" s="194"/>
      <c r="O316" s="194"/>
      <c r="P316" s="194"/>
      <c r="Q316" s="194"/>
      <c r="R316" s="47"/>
      <c r="S316" s="194"/>
      <c r="T316" s="47"/>
      <c r="U316" s="194"/>
      <c r="V316" s="47"/>
      <c r="W316" s="194"/>
      <c r="X316" s="47"/>
      <c r="Y316" s="194"/>
      <c r="Z316" s="194"/>
      <c r="AA316" s="47"/>
      <c r="AB316" s="47"/>
      <c r="AC316" s="47"/>
      <c r="AD316" s="47"/>
      <c r="AE316" s="194"/>
      <c r="AF316" s="194"/>
      <c r="AG316" s="194"/>
      <c r="AH316" s="355"/>
      <c r="AI316" s="47"/>
      <c r="AJ316" s="198"/>
      <c r="AK316" s="47"/>
      <c r="AL316" s="47"/>
      <c r="AM316" s="47"/>
      <c r="AN316" s="47"/>
      <c r="AO316" s="47"/>
      <c r="AP316" s="194"/>
      <c r="AQ316" s="47"/>
      <c r="AR316" s="47"/>
      <c r="AS316" s="47"/>
      <c r="AT316" s="194"/>
      <c r="AU316" s="194"/>
      <c r="AV316" s="194"/>
      <c r="AW316" s="194"/>
      <c r="AX316" s="194"/>
      <c r="AY316" s="194"/>
      <c r="AZ316" s="194"/>
      <c r="BA316" s="194"/>
      <c r="BB316" s="194"/>
      <c r="BC316" s="194"/>
      <c r="BD316" s="194"/>
      <c r="BE316" s="194"/>
      <c r="BF316" s="194"/>
      <c r="BG316" s="194"/>
      <c r="BH316" s="194"/>
      <c r="BI316" s="194"/>
      <c r="BJ316" s="194"/>
      <c r="BK316" s="194"/>
      <c r="BL316" s="194"/>
      <c r="BM316" s="194"/>
      <c r="BN316" s="194"/>
      <c r="BO316" s="194"/>
      <c r="BP316" s="194"/>
      <c r="BQ316" s="47"/>
      <c r="BR316" s="194"/>
      <c r="BS316" s="47"/>
      <c r="BT316" s="47"/>
      <c r="BU316" s="47"/>
      <c r="BV316" s="47"/>
      <c r="BW316" s="47"/>
      <c r="BX316" s="194"/>
      <c r="BY316" s="194"/>
      <c r="BZ316" s="194"/>
      <c r="CA316" s="194"/>
      <c r="CB316" s="194"/>
      <c r="CC316" s="47"/>
      <c r="CD316" s="47"/>
      <c r="CE316" s="47"/>
      <c r="CF316" s="47"/>
      <c r="CG316" s="47"/>
      <c r="CH316" s="47"/>
      <c r="CI316" s="47"/>
      <c r="CJ316" s="47"/>
      <c r="CK316" s="47"/>
      <c r="CL316" s="194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194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198"/>
      <c r="DX316" s="47"/>
      <c r="DY316" s="194"/>
      <c r="DZ316" s="47"/>
      <c r="EA316" s="47"/>
      <c r="EB316" s="194"/>
      <c r="EC316" s="47"/>
      <c r="ED316" s="195"/>
      <c r="EE316" s="195"/>
      <c r="EF316" s="195"/>
      <c r="EG316" s="195"/>
      <c r="EH316" s="195"/>
      <c r="EI316" s="196"/>
      <c r="EJ316" s="201"/>
      <c r="EK316" s="202"/>
      <c r="EL316" s="355"/>
      <c r="FA316" s="251">
        <f t="shared" si="18"/>
        <v>0</v>
      </c>
    </row>
    <row r="317" spans="1:157" s="89" customFormat="1" ht="20.149999999999999" customHeight="1" x14ac:dyDescent="0.35">
      <c r="A317" s="47"/>
      <c r="B317" s="47" t="s">
        <v>1051</v>
      </c>
      <c r="C317" s="47" t="s">
        <v>1589</v>
      </c>
      <c r="D317" s="252" t="s">
        <v>56</v>
      </c>
      <c r="E317" s="2" t="s">
        <v>1590</v>
      </c>
      <c r="F317" s="2" t="s">
        <v>1588</v>
      </c>
      <c r="G317" s="2" t="s">
        <v>32</v>
      </c>
      <c r="H317" s="223"/>
      <c r="I317" s="47"/>
      <c r="J317" s="47"/>
      <c r="K317" s="47"/>
      <c r="L317" s="47"/>
      <c r="M317" s="47"/>
      <c r="N317" s="194"/>
      <c r="O317" s="194"/>
      <c r="P317" s="194"/>
      <c r="Q317" s="194"/>
      <c r="R317" s="47"/>
      <c r="S317" s="194"/>
      <c r="T317" s="47"/>
      <c r="U317" s="194"/>
      <c r="V317" s="47"/>
      <c r="W317" s="194"/>
      <c r="X317" s="47"/>
      <c r="Y317" s="194"/>
      <c r="Z317" s="194"/>
      <c r="AA317" s="47"/>
      <c r="AB317" s="47"/>
      <c r="AC317" s="47"/>
      <c r="AD317" s="47"/>
      <c r="AE317" s="194"/>
      <c r="AF317" s="194"/>
      <c r="AG317" s="194"/>
      <c r="AH317" s="355"/>
      <c r="AI317" s="47"/>
      <c r="AJ317" s="198"/>
      <c r="AK317" s="47"/>
      <c r="AL317" s="47"/>
      <c r="AM317" s="47"/>
      <c r="AN317" s="47"/>
      <c r="AO317" s="47"/>
      <c r="AP317" s="194"/>
      <c r="AQ317" s="47"/>
      <c r="AR317" s="47"/>
      <c r="AS317" s="47"/>
      <c r="AT317" s="194"/>
      <c r="AU317" s="194"/>
      <c r="AV317" s="194"/>
      <c r="AW317" s="194"/>
      <c r="AX317" s="194"/>
      <c r="AY317" s="194"/>
      <c r="AZ317" s="194"/>
      <c r="BA317" s="194"/>
      <c r="BB317" s="194"/>
      <c r="BC317" s="194"/>
      <c r="BD317" s="194"/>
      <c r="BE317" s="194"/>
      <c r="BF317" s="194"/>
      <c r="BG317" s="194"/>
      <c r="BH317" s="194"/>
      <c r="BI317" s="194"/>
      <c r="BJ317" s="194"/>
      <c r="BK317" s="194"/>
      <c r="BL317" s="194"/>
      <c r="BM317" s="194"/>
      <c r="BN317" s="194"/>
      <c r="BO317" s="194"/>
      <c r="BP317" s="194"/>
      <c r="BQ317" s="47"/>
      <c r="BR317" s="194"/>
      <c r="BS317" s="47"/>
      <c r="BT317" s="47"/>
      <c r="BU317" s="47"/>
      <c r="BV317" s="47"/>
      <c r="BW317" s="47"/>
      <c r="BX317" s="194"/>
      <c r="BY317" s="194"/>
      <c r="BZ317" s="194"/>
      <c r="CA317" s="194"/>
      <c r="CB317" s="194"/>
      <c r="CC317" s="47"/>
      <c r="CD317" s="47"/>
      <c r="CE317" s="47"/>
      <c r="CF317" s="47"/>
      <c r="CG317" s="47"/>
      <c r="CH317" s="47"/>
      <c r="CI317" s="47"/>
      <c r="CJ317" s="47"/>
      <c r="CK317" s="47"/>
      <c r="CL317" s="194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194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198"/>
      <c r="DX317" s="47"/>
      <c r="DY317" s="194"/>
      <c r="DZ317" s="47"/>
      <c r="EA317" s="47"/>
      <c r="EB317" s="194"/>
      <c r="EC317" s="47"/>
      <c r="ED317" s="195"/>
      <c r="EE317" s="195"/>
      <c r="EF317" s="195"/>
      <c r="EG317" s="195"/>
      <c r="EH317" s="195"/>
      <c r="EI317" s="196"/>
      <c r="EJ317" s="201"/>
      <c r="EK317" s="202"/>
      <c r="EL317" s="355"/>
      <c r="FA317" s="251">
        <f t="shared" si="18"/>
        <v>0</v>
      </c>
    </row>
    <row r="318" spans="1:157" s="89" customFormat="1" ht="20.149999999999999" customHeight="1" x14ac:dyDescent="0.35">
      <c r="A318" s="47"/>
      <c r="B318" s="380" t="s">
        <v>1052</v>
      </c>
      <c r="C318" s="380" t="s">
        <v>1591</v>
      </c>
      <c r="D318" s="380"/>
      <c r="E318" s="389" t="s">
        <v>1592</v>
      </c>
      <c r="F318" s="389" t="s">
        <v>1593</v>
      </c>
      <c r="G318" s="40" t="s">
        <v>32</v>
      </c>
      <c r="H318" s="223"/>
      <c r="I318" s="47"/>
      <c r="J318" s="47"/>
      <c r="K318" s="47"/>
      <c r="L318" s="47"/>
      <c r="M318" s="47"/>
      <c r="N318" s="194"/>
      <c r="O318" s="194"/>
      <c r="P318" s="194"/>
      <c r="Q318" s="194"/>
      <c r="R318" s="47"/>
      <c r="S318" s="194"/>
      <c r="T318" s="47"/>
      <c r="U318" s="194"/>
      <c r="V318" s="47"/>
      <c r="W318" s="194"/>
      <c r="X318" s="47"/>
      <c r="Y318" s="194"/>
      <c r="Z318" s="194"/>
      <c r="AA318" s="47"/>
      <c r="AB318" s="47"/>
      <c r="AC318" s="47"/>
      <c r="AD318" s="47"/>
      <c r="AE318" s="194"/>
      <c r="AF318" s="194"/>
      <c r="AG318" s="194"/>
      <c r="AH318" s="355"/>
      <c r="AI318" s="47"/>
      <c r="AJ318" s="198"/>
      <c r="AK318" s="47"/>
      <c r="AL318" s="47"/>
      <c r="AM318" s="47"/>
      <c r="AN318" s="47"/>
      <c r="AO318" s="47"/>
      <c r="AP318" s="194"/>
      <c r="AQ318" s="47"/>
      <c r="AR318" s="47"/>
      <c r="AS318" s="47"/>
      <c r="AT318" s="194"/>
      <c r="AU318" s="194"/>
      <c r="AV318" s="194"/>
      <c r="AW318" s="194"/>
      <c r="AX318" s="194"/>
      <c r="AY318" s="194"/>
      <c r="AZ318" s="194"/>
      <c r="BA318" s="194"/>
      <c r="BB318" s="194"/>
      <c r="BC318" s="194"/>
      <c r="BD318" s="194"/>
      <c r="BE318" s="194"/>
      <c r="BF318" s="194"/>
      <c r="BG318" s="194"/>
      <c r="BH318" s="194"/>
      <c r="BI318" s="194"/>
      <c r="BJ318" s="194"/>
      <c r="BK318" s="194"/>
      <c r="BL318" s="194"/>
      <c r="BM318" s="194"/>
      <c r="BN318" s="194"/>
      <c r="BO318" s="194"/>
      <c r="BP318" s="194"/>
      <c r="BQ318" s="47"/>
      <c r="BR318" s="194"/>
      <c r="BS318" s="47"/>
      <c r="BT318" s="47"/>
      <c r="BU318" s="47"/>
      <c r="BV318" s="47"/>
      <c r="BW318" s="47"/>
      <c r="BX318" s="194"/>
      <c r="BY318" s="194"/>
      <c r="BZ318" s="194"/>
      <c r="CA318" s="194"/>
      <c r="CB318" s="194"/>
      <c r="CC318" s="47"/>
      <c r="CD318" s="47"/>
      <c r="CE318" s="47"/>
      <c r="CF318" s="47"/>
      <c r="CG318" s="47"/>
      <c r="CH318" s="47"/>
      <c r="CI318" s="47"/>
      <c r="CJ318" s="47"/>
      <c r="CK318" s="47"/>
      <c r="CL318" s="194"/>
      <c r="CM318" s="47"/>
      <c r="CN318" s="47"/>
      <c r="CO318" s="47"/>
      <c r="CP318" s="47"/>
      <c r="CQ318" s="47"/>
      <c r="CR318" s="47"/>
      <c r="CS318" s="198"/>
      <c r="CT318" s="47"/>
      <c r="CU318" s="47"/>
      <c r="CV318" s="47"/>
      <c r="CW318" s="47"/>
      <c r="CX318" s="194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198"/>
      <c r="DX318" s="47"/>
      <c r="DY318" s="194"/>
      <c r="DZ318" s="47"/>
      <c r="EA318" s="47"/>
      <c r="EB318" s="194"/>
      <c r="EC318" s="47"/>
      <c r="ED318" s="195"/>
      <c r="EE318" s="195"/>
      <c r="EF318" s="195"/>
      <c r="EG318" s="195"/>
      <c r="EH318" s="195"/>
      <c r="EI318" s="196"/>
      <c r="EJ318" s="201"/>
      <c r="EK318" s="202"/>
      <c r="EL318" s="355"/>
      <c r="FA318" s="251">
        <f t="shared" si="18"/>
        <v>0</v>
      </c>
    </row>
    <row r="319" spans="1:157" s="1" customFormat="1" ht="20.149999999999999" customHeight="1" x14ac:dyDescent="0.35">
      <c r="A319" s="2"/>
      <c r="B319" s="47" t="s">
        <v>1053</v>
      </c>
      <c r="C319" s="47" t="s">
        <v>1425</v>
      </c>
      <c r="D319" s="252" t="s">
        <v>637</v>
      </c>
      <c r="E319" s="2" t="s">
        <v>326</v>
      </c>
      <c r="F319" s="2" t="s">
        <v>403</v>
      </c>
      <c r="G319" s="375" t="s">
        <v>34</v>
      </c>
      <c r="H319" s="328">
        <v>21</v>
      </c>
      <c r="I319" s="47"/>
      <c r="J319" s="47"/>
      <c r="K319" s="47"/>
      <c r="L319" s="47">
        <v>31</v>
      </c>
      <c r="M319" s="47"/>
      <c r="N319" s="194"/>
      <c r="O319" s="194"/>
      <c r="P319" s="194"/>
      <c r="Q319" s="194"/>
      <c r="R319" s="47"/>
      <c r="S319" s="194"/>
      <c r="T319" s="47"/>
      <c r="U319" s="194"/>
      <c r="V319" s="47"/>
      <c r="W319" s="194"/>
      <c r="X319" s="47"/>
      <c r="Y319" s="194"/>
      <c r="Z319" s="194"/>
      <c r="AA319" s="47"/>
      <c r="AB319" s="47"/>
      <c r="AC319" s="47"/>
      <c r="AD319" s="47"/>
      <c r="AE319" s="194"/>
      <c r="AF319" s="194">
        <v>31</v>
      </c>
      <c r="AG319" s="194"/>
      <c r="AH319" s="5"/>
      <c r="AI319" s="47"/>
      <c r="AJ319" s="223"/>
      <c r="AK319" s="47"/>
      <c r="AL319" s="47"/>
      <c r="AM319" s="47"/>
      <c r="AN319" s="47"/>
      <c r="AO319" s="47"/>
      <c r="AP319" s="194"/>
      <c r="AQ319" s="47"/>
      <c r="AR319" s="47">
        <v>30</v>
      </c>
      <c r="AS319" s="47"/>
      <c r="AT319" s="194">
        <v>30</v>
      </c>
      <c r="AU319" s="194"/>
      <c r="AV319" s="194"/>
      <c r="AW319" s="194"/>
      <c r="AX319" s="194"/>
      <c r="AY319" s="194"/>
      <c r="AZ319" s="194"/>
      <c r="BA319" s="194"/>
      <c r="BB319" s="194"/>
      <c r="BC319" s="194"/>
      <c r="BD319" s="194"/>
      <c r="BE319" s="194"/>
      <c r="BF319" s="194"/>
      <c r="BG319" s="194"/>
      <c r="BH319" s="194"/>
      <c r="BI319" s="194"/>
      <c r="BJ319" s="194"/>
      <c r="BK319" s="194"/>
      <c r="BL319" s="194"/>
      <c r="BM319" s="194"/>
      <c r="BN319" s="194">
        <v>30</v>
      </c>
      <c r="BO319" s="194"/>
      <c r="BP319" s="194"/>
      <c r="BQ319" s="47"/>
      <c r="BR319" s="194"/>
      <c r="BS319" s="47"/>
      <c r="BT319" s="47"/>
      <c r="BU319" s="47"/>
      <c r="BV319" s="47"/>
      <c r="BW319" s="47"/>
      <c r="BX319" s="194">
        <v>28</v>
      </c>
      <c r="BY319" s="194"/>
      <c r="BZ319" s="194"/>
      <c r="CA319" s="194"/>
      <c r="CB319" s="194"/>
      <c r="CC319" s="47"/>
      <c r="CD319" s="47"/>
      <c r="CE319" s="47"/>
      <c r="CF319" s="47"/>
      <c r="CG319" s="47"/>
      <c r="CH319" s="47"/>
      <c r="CI319" s="47"/>
      <c r="CJ319" s="47"/>
      <c r="CK319" s="224"/>
      <c r="CL319" s="194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194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>
        <v>30</v>
      </c>
      <c r="DW319" s="198"/>
      <c r="DX319" s="47"/>
      <c r="DY319" s="194"/>
      <c r="DZ319" s="47"/>
      <c r="EA319" s="47"/>
      <c r="EB319" s="194"/>
      <c r="EC319" s="47"/>
      <c r="ED319" s="195"/>
      <c r="EE319" s="195"/>
      <c r="EF319" s="195"/>
      <c r="EG319" s="195"/>
      <c r="EH319" s="195">
        <v>19</v>
      </c>
      <c r="EI319" s="196">
        <f t="shared" si="16"/>
        <v>399</v>
      </c>
      <c r="EJ319" s="201">
        <f t="shared" si="17"/>
        <v>26.67</v>
      </c>
      <c r="EK319" s="202">
        <v>30</v>
      </c>
      <c r="EL319" s="5"/>
      <c r="FA319" s="251">
        <f t="shared" si="18"/>
        <v>21</v>
      </c>
    </row>
    <row r="320" spans="1:157" s="1" customFormat="1" ht="20.149999999999999" customHeight="1" x14ac:dyDescent="0.35">
      <c r="A320" s="2"/>
      <c r="B320" s="383" t="s">
        <v>1054</v>
      </c>
      <c r="C320" s="383" t="s">
        <v>173</v>
      </c>
      <c r="D320" s="384" t="s">
        <v>637</v>
      </c>
      <c r="E320" s="385" t="s">
        <v>217</v>
      </c>
      <c r="F320" s="385" t="s">
        <v>399</v>
      </c>
      <c r="G320" s="2" t="s">
        <v>32</v>
      </c>
      <c r="H320" s="57">
        <v>17</v>
      </c>
      <c r="I320" s="47"/>
      <c r="J320" s="47"/>
      <c r="K320" s="47"/>
      <c r="L320" s="47"/>
      <c r="M320" s="47"/>
      <c r="N320" s="194"/>
      <c r="O320" s="194"/>
      <c r="P320" s="194"/>
      <c r="Q320" s="194">
        <v>24</v>
      </c>
      <c r="R320" s="47"/>
      <c r="S320" s="194"/>
      <c r="T320" s="47"/>
      <c r="U320" s="194"/>
      <c r="V320" s="47"/>
      <c r="W320" s="194"/>
      <c r="X320" s="47">
        <v>24</v>
      </c>
      <c r="Y320" s="194"/>
      <c r="Z320" s="194"/>
      <c r="AA320" s="47"/>
      <c r="AB320" s="47"/>
      <c r="AC320" s="47"/>
      <c r="AD320" s="47"/>
      <c r="AE320" s="194"/>
      <c r="AF320" s="194"/>
      <c r="AG320" s="194"/>
      <c r="AH320" s="5"/>
      <c r="AI320" s="47"/>
      <c r="AJ320" s="223"/>
      <c r="AK320" s="47"/>
      <c r="AL320" s="47"/>
      <c r="AM320" s="47"/>
      <c r="AN320" s="47"/>
      <c r="AO320" s="47"/>
      <c r="AP320" s="194"/>
      <c r="AQ320" s="47"/>
      <c r="AR320" s="47"/>
      <c r="AS320" s="47"/>
      <c r="AT320" s="194"/>
      <c r="AU320" s="194"/>
      <c r="AV320" s="194"/>
      <c r="AW320" s="194"/>
      <c r="AX320" s="194"/>
      <c r="AY320" s="194"/>
      <c r="AZ320" s="194"/>
      <c r="BA320" s="194"/>
      <c r="BB320" s="194"/>
      <c r="BC320" s="194"/>
      <c r="BD320" s="194"/>
      <c r="BE320" s="194"/>
      <c r="BF320" s="194"/>
      <c r="BG320" s="194"/>
      <c r="BH320" s="194"/>
      <c r="BI320" s="194"/>
      <c r="BJ320" s="194"/>
      <c r="BK320" s="194"/>
      <c r="BL320" s="194"/>
      <c r="BM320" s="194"/>
      <c r="BN320" s="194"/>
      <c r="BO320" s="194"/>
      <c r="BP320" s="194"/>
      <c r="BQ320" s="47"/>
      <c r="BR320" s="194"/>
      <c r="BS320" s="47"/>
      <c r="BT320" s="47"/>
      <c r="BU320" s="47"/>
      <c r="BV320" s="47"/>
      <c r="BW320" s="47"/>
      <c r="BX320" s="194"/>
      <c r="BY320" s="194"/>
      <c r="BZ320" s="194"/>
      <c r="CA320" s="194"/>
      <c r="CB320" s="194"/>
      <c r="CC320" s="47"/>
      <c r="CD320" s="47"/>
      <c r="CE320" s="47"/>
      <c r="CF320" s="47"/>
      <c r="CG320" s="47"/>
      <c r="CH320" s="47"/>
      <c r="CI320" s="47"/>
      <c r="CJ320" s="47"/>
      <c r="CK320" s="194"/>
      <c r="CL320" s="194"/>
      <c r="CM320" s="47"/>
      <c r="CN320" s="47"/>
      <c r="CO320" s="47">
        <v>24</v>
      </c>
      <c r="CP320" s="47">
        <v>24</v>
      </c>
      <c r="CQ320" s="47"/>
      <c r="CR320" s="47"/>
      <c r="CS320" s="47"/>
      <c r="CT320" s="47"/>
      <c r="CU320" s="47"/>
      <c r="CV320" s="47"/>
      <c r="CW320" s="47"/>
      <c r="CX320" s="194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198"/>
      <c r="DX320" s="47"/>
      <c r="DY320" s="194"/>
      <c r="DZ320" s="47"/>
      <c r="EA320" s="47"/>
      <c r="EB320" s="194"/>
      <c r="EC320" s="47"/>
      <c r="ED320" s="195"/>
      <c r="EE320" s="195"/>
      <c r="EF320" s="195"/>
      <c r="EG320" s="195"/>
      <c r="EH320" s="195"/>
      <c r="EI320" s="196">
        <f t="shared" si="16"/>
        <v>0</v>
      </c>
      <c r="EJ320" s="201">
        <f t="shared" si="17"/>
        <v>21.59</v>
      </c>
      <c r="EK320" s="202">
        <f t="shared" si="19"/>
        <v>24</v>
      </c>
      <c r="EL320" s="5"/>
      <c r="FA320" s="251">
        <f t="shared" si="18"/>
        <v>17</v>
      </c>
    </row>
    <row r="321" spans="1:157" s="1" customFormat="1" ht="20.149999999999999" customHeight="1" x14ac:dyDescent="0.35">
      <c r="A321" s="2"/>
      <c r="B321" s="47" t="s">
        <v>1055</v>
      </c>
      <c r="C321" s="47" t="s">
        <v>708</v>
      </c>
      <c r="D321" s="2" t="s">
        <v>709</v>
      </c>
      <c r="E321" s="2" t="s">
        <v>711</v>
      </c>
      <c r="F321" s="48" t="s">
        <v>710</v>
      </c>
      <c r="G321" s="392" t="s">
        <v>32</v>
      </c>
      <c r="H321" s="328">
        <v>31.2</v>
      </c>
      <c r="I321" s="47"/>
      <c r="J321" s="47"/>
      <c r="K321" s="47"/>
      <c r="L321" s="47"/>
      <c r="M321" s="47"/>
      <c r="N321" s="194"/>
      <c r="O321" s="194"/>
      <c r="P321" s="194"/>
      <c r="Q321" s="194"/>
      <c r="R321" s="47"/>
      <c r="S321" s="194"/>
      <c r="T321" s="47"/>
      <c r="U321" s="194"/>
      <c r="V321" s="47"/>
      <c r="W321" s="194"/>
      <c r="X321" s="47"/>
      <c r="Y321" s="194"/>
      <c r="Z321" s="194"/>
      <c r="AA321" s="47"/>
      <c r="AB321" s="47"/>
      <c r="AC321" s="47"/>
      <c r="AD321" s="47"/>
      <c r="AE321" s="194"/>
      <c r="AF321" s="194"/>
      <c r="AG321" s="194"/>
      <c r="AH321" s="5"/>
      <c r="AI321" s="47"/>
      <c r="AJ321" s="223"/>
      <c r="AK321" s="47"/>
      <c r="AL321" s="47"/>
      <c r="AM321" s="47"/>
      <c r="AN321" s="47"/>
      <c r="AO321" s="47"/>
      <c r="AP321" s="194"/>
      <c r="AQ321" s="47"/>
      <c r="AR321" s="47"/>
      <c r="AS321" s="47"/>
      <c r="AT321" s="194"/>
      <c r="AU321" s="194"/>
      <c r="AV321" s="194"/>
      <c r="AW321" s="194"/>
      <c r="AX321" s="194"/>
      <c r="AY321" s="194"/>
      <c r="AZ321" s="194"/>
      <c r="BA321" s="194"/>
      <c r="BB321" s="194"/>
      <c r="BC321" s="194"/>
      <c r="BD321" s="194"/>
      <c r="BE321" s="194"/>
      <c r="BF321" s="194"/>
      <c r="BG321" s="194"/>
      <c r="BH321" s="194"/>
      <c r="BI321" s="194"/>
      <c r="BJ321" s="194"/>
      <c r="BK321" s="194"/>
      <c r="BL321" s="194"/>
      <c r="BM321" s="194"/>
      <c r="BN321" s="194"/>
      <c r="BO321" s="194"/>
      <c r="BP321" s="194"/>
      <c r="BQ321" s="47"/>
      <c r="BR321" s="194"/>
      <c r="BS321" s="47"/>
      <c r="BT321" s="47"/>
      <c r="BU321" s="47"/>
      <c r="BV321" s="47"/>
      <c r="BW321" s="47"/>
      <c r="BX321" s="194"/>
      <c r="BY321" s="194"/>
      <c r="BZ321" s="194"/>
      <c r="CA321" s="194"/>
      <c r="CB321" s="194"/>
      <c r="CC321" s="47"/>
      <c r="CD321" s="47"/>
      <c r="CE321" s="47"/>
      <c r="CF321" s="47"/>
      <c r="CG321" s="47"/>
      <c r="CH321" s="47"/>
      <c r="CI321" s="47"/>
      <c r="CJ321" s="47"/>
      <c r="CK321" s="194"/>
      <c r="CL321" s="194">
        <v>38.5</v>
      </c>
      <c r="CM321" s="47"/>
      <c r="CN321" s="47"/>
      <c r="CO321" s="47"/>
      <c r="CP321" s="47"/>
      <c r="CQ321" s="47"/>
      <c r="CR321" s="47"/>
      <c r="CS321" s="47"/>
      <c r="CT321" s="47"/>
      <c r="CU321" s="47"/>
      <c r="CV321" s="198">
        <v>40</v>
      </c>
      <c r="CW321" s="47"/>
      <c r="CX321" s="194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198"/>
      <c r="DX321" s="47"/>
      <c r="DY321" s="194"/>
      <c r="DZ321" s="47"/>
      <c r="EA321" s="47"/>
      <c r="EB321" s="194"/>
      <c r="EC321" s="47"/>
      <c r="ED321" s="195"/>
      <c r="EE321" s="195"/>
      <c r="EF321" s="195"/>
      <c r="EG321" s="195"/>
      <c r="EH321" s="195">
        <v>2</v>
      </c>
      <c r="EI321" s="196">
        <f t="shared" si="16"/>
        <v>62.4</v>
      </c>
      <c r="EJ321" s="201">
        <f t="shared" si="17"/>
        <v>39.624000000000002</v>
      </c>
      <c r="EK321" s="202">
        <f t="shared" si="19"/>
        <v>39.25</v>
      </c>
      <c r="EL321" s="5"/>
      <c r="FA321" s="251">
        <f t="shared" si="18"/>
        <v>31.2</v>
      </c>
    </row>
    <row r="322" spans="1:157" s="1" customFormat="1" ht="20.149999999999999" customHeight="1" x14ac:dyDescent="0.35">
      <c r="A322" s="2"/>
      <c r="B322" s="373" t="s">
        <v>1056</v>
      </c>
      <c r="C322" s="373" t="s">
        <v>1594</v>
      </c>
      <c r="D322" s="386" t="s">
        <v>637</v>
      </c>
      <c r="E322" s="374" t="s">
        <v>326</v>
      </c>
      <c r="F322" s="374" t="s">
        <v>404</v>
      </c>
      <c r="G322" s="2" t="s">
        <v>32</v>
      </c>
      <c r="H322" s="328">
        <v>30</v>
      </c>
      <c r="I322" s="47"/>
      <c r="J322" s="47"/>
      <c r="K322" s="47"/>
      <c r="L322" s="47">
        <v>38</v>
      </c>
      <c r="M322" s="47"/>
      <c r="N322" s="194"/>
      <c r="O322" s="194"/>
      <c r="P322" s="194"/>
      <c r="Q322" s="194"/>
      <c r="R322" s="47"/>
      <c r="S322" s="194"/>
      <c r="T322" s="47"/>
      <c r="U322" s="194"/>
      <c r="V322" s="47"/>
      <c r="W322" s="194"/>
      <c r="X322" s="47">
        <v>37</v>
      </c>
      <c r="Y322" s="194"/>
      <c r="Z322" s="194"/>
      <c r="AA322" s="47"/>
      <c r="AB322" s="47"/>
      <c r="AC322" s="47"/>
      <c r="AD322" s="47"/>
      <c r="AE322" s="194"/>
      <c r="AF322" s="194"/>
      <c r="AG322" s="194"/>
      <c r="AH322" s="5"/>
      <c r="AI322" s="47"/>
      <c r="AJ322" s="223"/>
      <c r="AK322" s="47"/>
      <c r="AL322" s="47"/>
      <c r="AM322" s="47"/>
      <c r="AN322" s="47"/>
      <c r="AO322" s="47"/>
      <c r="AP322" s="194"/>
      <c r="AQ322" s="47"/>
      <c r="AR322" s="47"/>
      <c r="AS322" s="47"/>
      <c r="AT322" s="194"/>
      <c r="AU322" s="194"/>
      <c r="AV322" s="194"/>
      <c r="AW322" s="194"/>
      <c r="AX322" s="194"/>
      <c r="AY322" s="194"/>
      <c r="AZ322" s="194"/>
      <c r="BA322" s="194"/>
      <c r="BB322" s="194"/>
      <c r="BC322" s="194"/>
      <c r="BD322" s="194"/>
      <c r="BE322" s="194"/>
      <c r="BF322" s="194"/>
      <c r="BG322" s="194"/>
      <c r="BH322" s="194"/>
      <c r="BI322" s="194"/>
      <c r="BJ322" s="194"/>
      <c r="BK322" s="194"/>
      <c r="BL322" s="194"/>
      <c r="BM322" s="194"/>
      <c r="BN322" s="194"/>
      <c r="BO322" s="194"/>
      <c r="BP322" s="194"/>
      <c r="BQ322" s="47"/>
      <c r="BR322" s="194"/>
      <c r="BS322" s="47"/>
      <c r="BT322" s="47"/>
      <c r="BU322" s="47"/>
      <c r="BV322" s="47"/>
      <c r="BW322" s="47"/>
      <c r="BX322" s="194"/>
      <c r="BY322" s="194"/>
      <c r="BZ322" s="194"/>
      <c r="CA322" s="194"/>
      <c r="CB322" s="194"/>
      <c r="CC322" s="47"/>
      <c r="CD322" s="47"/>
      <c r="CE322" s="47"/>
      <c r="CF322" s="47"/>
      <c r="CG322" s="47"/>
      <c r="CH322" s="47"/>
      <c r="CI322" s="47"/>
      <c r="CJ322" s="47"/>
      <c r="CK322" s="194"/>
      <c r="CL322" s="194"/>
      <c r="CM322" s="47"/>
      <c r="CN322" s="47"/>
      <c r="CO322" s="47">
        <v>38</v>
      </c>
      <c r="CP322" s="47">
        <v>38</v>
      </c>
      <c r="CQ322" s="47"/>
      <c r="CR322" s="47"/>
      <c r="CS322" s="47"/>
      <c r="CT322" s="47"/>
      <c r="CU322" s="47"/>
      <c r="CV322" s="47"/>
      <c r="CW322" s="47"/>
      <c r="CX322" s="194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198"/>
      <c r="DX322" s="47"/>
      <c r="DY322" s="194"/>
      <c r="DZ322" s="47"/>
      <c r="EA322" s="47"/>
      <c r="EB322" s="194"/>
      <c r="EC322" s="47"/>
      <c r="ED322" s="195"/>
      <c r="EE322" s="195"/>
      <c r="EF322" s="195"/>
      <c r="EG322" s="195"/>
      <c r="EH322" s="195">
        <v>16</v>
      </c>
      <c r="EI322" s="196">
        <f t="shared" si="16"/>
        <v>480</v>
      </c>
      <c r="EJ322" s="201">
        <f t="shared" si="17"/>
        <v>38.1</v>
      </c>
      <c r="EK322" s="202">
        <v>35</v>
      </c>
      <c r="EL322" s="5"/>
      <c r="FA322" s="251">
        <f t="shared" si="18"/>
        <v>30</v>
      </c>
    </row>
    <row r="323" spans="1:157" s="1" customFormat="1" ht="20.149999999999999" customHeight="1" x14ac:dyDescent="0.35">
      <c r="A323" s="47"/>
      <c r="B323" s="47" t="s">
        <v>1057</v>
      </c>
      <c r="C323" s="47" t="s">
        <v>1595</v>
      </c>
      <c r="D323" s="2"/>
      <c r="E323" s="2" t="s">
        <v>33</v>
      </c>
      <c r="F323" s="48" t="s">
        <v>1596</v>
      </c>
      <c r="G323" s="48" t="s">
        <v>30</v>
      </c>
      <c r="H323" s="57"/>
      <c r="I323" s="47"/>
      <c r="J323" s="47"/>
      <c r="K323" s="47"/>
      <c r="L323" s="47"/>
      <c r="M323" s="47"/>
      <c r="N323" s="194"/>
      <c r="O323" s="194"/>
      <c r="P323" s="194"/>
      <c r="Q323" s="194"/>
      <c r="R323" s="194">
        <v>70</v>
      </c>
      <c r="S323" s="194"/>
      <c r="T323" s="47"/>
      <c r="U323" s="194"/>
      <c r="V323" s="47"/>
      <c r="W323" s="194"/>
      <c r="X323" s="47"/>
      <c r="Y323" s="194"/>
      <c r="Z323" s="194"/>
      <c r="AA323" s="47"/>
      <c r="AB323" s="47"/>
      <c r="AC323" s="47"/>
      <c r="AD323" s="47"/>
      <c r="AE323" s="194"/>
      <c r="AF323" s="194"/>
      <c r="AG323" s="194"/>
      <c r="AH323" s="5"/>
      <c r="AI323" s="47"/>
      <c r="AJ323" s="198"/>
      <c r="AK323" s="47"/>
      <c r="AL323" s="47"/>
      <c r="AM323" s="47"/>
      <c r="AN323" s="47"/>
      <c r="AO323" s="47"/>
      <c r="AP323" s="194"/>
      <c r="AQ323" s="47"/>
      <c r="AR323" s="47"/>
      <c r="AS323" s="47"/>
      <c r="AT323" s="194"/>
      <c r="AU323" s="194"/>
      <c r="AV323" s="194"/>
      <c r="AW323" s="194"/>
      <c r="AX323" s="194"/>
      <c r="AY323" s="194"/>
      <c r="AZ323" s="194"/>
      <c r="BA323" s="194"/>
      <c r="BB323" s="194"/>
      <c r="BC323" s="194"/>
      <c r="BD323" s="194"/>
      <c r="BE323" s="194"/>
      <c r="BF323" s="194"/>
      <c r="BG323" s="194"/>
      <c r="BH323" s="194"/>
      <c r="BI323" s="194"/>
      <c r="BJ323" s="194"/>
      <c r="BK323" s="194"/>
      <c r="BL323" s="194"/>
      <c r="BM323" s="194"/>
      <c r="BN323" s="194"/>
      <c r="BO323" s="194">
        <v>75</v>
      </c>
      <c r="BP323" s="194"/>
      <c r="BQ323" s="47"/>
      <c r="BR323" s="194"/>
      <c r="BS323" s="47"/>
      <c r="BT323" s="47"/>
      <c r="BU323" s="47"/>
      <c r="BV323" s="47"/>
      <c r="BW323" s="47"/>
      <c r="BX323" s="194"/>
      <c r="BY323" s="194"/>
      <c r="BZ323" s="194"/>
      <c r="CA323" s="194"/>
      <c r="CB323" s="194"/>
      <c r="CC323" s="47"/>
      <c r="CD323" s="47"/>
      <c r="CE323" s="47"/>
      <c r="CF323" s="47"/>
      <c r="CG323" s="47"/>
      <c r="CH323" s="47"/>
      <c r="CI323" s="47"/>
      <c r="CJ323" s="47"/>
      <c r="CK323" s="47"/>
      <c r="CL323" s="194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>
        <v>85</v>
      </c>
      <c r="CW323" s="47"/>
      <c r="CX323" s="194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198"/>
      <c r="DX323" s="47"/>
      <c r="DY323" s="194"/>
      <c r="DZ323" s="47"/>
      <c r="EA323" s="47"/>
      <c r="EB323" s="194"/>
      <c r="EC323" s="47"/>
      <c r="ED323" s="195"/>
      <c r="EE323" s="195"/>
      <c r="EF323" s="195"/>
      <c r="EG323" s="195"/>
      <c r="EH323" s="195"/>
      <c r="EI323" s="196">
        <f t="shared" si="16"/>
        <v>0</v>
      </c>
      <c r="EJ323" s="201">
        <f t="shared" si="17"/>
        <v>0</v>
      </c>
      <c r="EK323" s="202">
        <f t="shared" si="19"/>
        <v>76.666666666666671</v>
      </c>
      <c r="EL323" s="5"/>
      <c r="FA323" s="251">
        <f t="shared" si="18"/>
        <v>0</v>
      </c>
    </row>
    <row r="324" spans="1:157" s="1" customFormat="1" ht="20.149999999999999" customHeight="1" x14ac:dyDescent="0.35">
      <c r="A324" s="47"/>
      <c r="B324" s="380" t="s">
        <v>1058</v>
      </c>
      <c r="C324" s="380" t="s">
        <v>1597</v>
      </c>
      <c r="D324" s="389"/>
      <c r="E324" s="389" t="s">
        <v>42</v>
      </c>
      <c r="F324" s="382" t="s">
        <v>401</v>
      </c>
      <c r="G324" s="40" t="s">
        <v>34</v>
      </c>
      <c r="H324" s="57">
        <v>16</v>
      </c>
      <c r="I324" s="47"/>
      <c r="J324" s="47"/>
      <c r="K324" s="47"/>
      <c r="L324" s="47"/>
      <c r="M324" s="47"/>
      <c r="N324" s="194"/>
      <c r="O324" s="194"/>
      <c r="P324" s="194"/>
      <c r="Q324" s="194"/>
      <c r="R324" s="47"/>
      <c r="S324" s="194"/>
      <c r="T324" s="47"/>
      <c r="U324" s="194"/>
      <c r="V324" s="47"/>
      <c r="W324" s="194"/>
      <c r="X324" s="47"/>
      <c r="Y324" s="194"/>
      <c r="Z324" s="194"/>
      <c r="AA324" s="47"/>
      <c r="AB324" s="47"/>
      <c r="AC324" s="47"/>
      <c r="AD324" s="47"/>
      <c r="AE324" s="194"/>
      <c r="AF324" s="194"/>
      <c r="AG324" s="194"/>
      <c r="AH324" s="5"/>
      <c r="AI324" s="47"/>
      <c r="AJ324" s="198"/>
      <c r="AK324" s="47"/>
      <c r="AL324" s="47"/>
      <c r="AM324" s="47"/>
      <c r="AN324" s="47"/>
      <c r="AO324" s="47"/>
      <c r="AP324" s="194"/>
      <c r="AQ324" s="47"/>
      <c r="AR324" s="47"/>
      <c r="AS324" s="47"/>
      <c r="AT324" s="194"/>
      <c r="AU324" s="194"/>
      <c r="AV324" s="194"/>
      <c r="AW324" s="194"/>
      <c r="AX324" s="194"/>
      <c r="AY324" s="194"/>
      <c r="AZ324" s="194"/>
      <c r="BA324" s="194"/>
      <c r="BB324" s="194"/>
      <c r="BC324" s="194"/>
      <c r="BD324" s="194"/>
      <c r="BE324" s="194"/>
      <c r="BF324" s="194"/>
      <c r="BG324" s="194"/>
      <c r="BH324" s="194"/>
      <c r="BI324" s="194"/>
      <c r="BJ324" s="194"/>
      <c r="BK324" s="194"/>
      <c r="BL324" s="194"/>
      <c r="BM324" s="194"/>
      <c r="BN324" s="194"/>
      <c r="BO324" s="194">
        <v>21.5</v>
      </c>
      <c r="BP324" s="194"/>
      <c r="BQ324" s="47"/>
      <c r="BR324" s="194"/>
      <c r="BS324" s="47"/>
      <c r="BT324" s="47"/>
      <c r="BU324" s="47"/>
      <c r="BV324" s="47"/>
      <c r="BW324" s="47"/>
      <c r="BX324" s="194"/>
      <c r="BY324" s="194"/>
      <c r="BZ324" s="194"/>
      <c r="CA324" s="194"/>
      <c r="CB324" s="194"/>
      <c r="CC324" s="47"/>
      <c r="CD324" s="47"/>
      <c r="CE324" s="47"/>
      <c r="CF324" s="47"/>
      <c r="CG324" s="47"/>
      <c r="CH324" s="47"/>
      <c r="CI324" s="47"/>
      <c r="CJ324" s="47"/>
      <c r="CK324" s="47"/>
      <c r="CL324" s="194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194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198"/>
      <c r="DX324" s="47"/>
      <c r="DY324" s="194"/>
      <c r="DZ324" s="47"/>
      <c r="EA324" s="47"/>
      <c r="EB324" s="194"/>
      <c r="EC324" s="47"/>
      <c r="ED324" s="195"/>
      <c r="EE324" s="195"/>
      <c r="EF324" s="195"/>
      <c r="EG324" s="195"/>
      <c r="EH324" s="195"/>
      <c r="EI324" s="196">
        <f t="shared" si="16"/>
        <v>0</v>
      </c>
      <c r="EJ324" s="201">
        <f t="shared" si="17"/>
        <v>20.32</v>
      </c>
      <c r="EK324" s="202">
        <f t="shared" si="19"/>
        <v>21.5</v>
      </c>
      <c r="EL324" s="5"/>
      <c r="FA324" s="251">
        <f t="shared" si="18"/>
        <v>16</v>
      </c>
    </row>
    <row r="325" spans="1:157" s="1" customFormat="1" ht="20.149999999999999" customHeight="1" x14ac:dyDescent="0.35">
      <c r="A325" s="47"/>
      <c r="B325" s="47" t="s">
        <v>1059</v>
      </c>
      <c r="C325" s="47" t="s">
        <v>197</v>
      </c>
      <c r="D325" s="252" t="s">
        <v>299</v>
      </c>
      <c r="E325" s="2" t="s">
        <v>55</v>
      </c>
      <c r="F325" s="2" t="s">
        <v>405</v>
      </c>
      <c r="G325" s="375" t="s">
        <v>34</v>
      </c>
      <c r="H325" s="328">
        <v>35.799999999999997</v>
      </c>
      <c r="I325" s="47"/>
      <c r="J325" s="47">
        <v>42</v>
      </c>
      <c r="K325" s="47"/>
      <c r="L325" s="47"/>
      <c r="M325" s="47"/>
      <c r="N325" s="194"/>
      <c r="O325" s="194"/>
      <c r="P325" s="194"/>
      <c r="Q325" s="194"/>
      <c r="R325" s="47"/>
      <c r="S325" s="194"/>
      <c r="T325" s="47"/>
      <c r="U325" s="194"/>
      <c r="V325" s="47"/>
      <c r="W325" s="194"/>
      <c r="X325" s="47">
        <v>41.5</v>
      </c>
      <c r="Y325" s="194"/>
      <c r="Z325" s="194"/>
      <c r="AA325" s="47"/>
      <c r="AB325" s="47">
        <v>44</v>
      </c>
      <c r="AC325" s="47"/>
      <c r="AD325" s="47"/>
      <c r="AE325" s="194"/>
      <c r="AF325" s="194"/>
      <c r="AG325" s="194"/>
      <c r="AH325" s="5"/>
      <c r="AI325" s="47"/>
      <c r="AJ325" s="223"/>
      <c r="AK325" s="47"/>
      <c r="AL325" s="47">
        <v>42</v>
      </c>
      <c r="AM325" s="47"/>
      <c r="AN325" s="47"/>
      <c r="AO325" s="47"/>
      <c r="AP325" s="194"/>
      <c r="AQ325" s="47"/>
      <c r="AR325" s="47"/>
      <c r="AS325" s="47"/>
      <c r="AT325" s="194"/>
      <c r="AU325" s="194"/>
      <c r="AV325" s="194"/>
      <c r="AW325" s="194"/>
      <c r="AX325" s="194"/>
      <c r="AY325" s="194"/>
      <c r="AZ325" s="194"/>
      <c r="BA325" s="194"/>
      <c r="BB325" s="194"/>
      <c r="BC325" s="194"/>
      <c r="BD325" s="194"/>
      <c r="BE325" s="194"/>
      <c r="BF325" s="194"/>
      <c r="BG325" s="194"/>
      <c r="BH325" s="194"/>
      <c r="BI325" s="194"/>
      <c r="BJ325" s="194"/>
      <c r="BK325" s="194"/>
      <c r="BL325" s="194"/>
      <c r="BM325" s="194"/>
      <c r="BN325" s="194"/>
      <c r="BO325" s="194"/>
      <c r="BP325" s="194"/>
      <c r="BQ325" s="47">
        <v>41</v>
      </c>
      <c r="BR325" s="194"/>
      <c r="BS325" s="47"/>
      <c r="BT325" s="47"/>
      <c r="BU325" s="47"/>
      <c r="BV325" s="47"/>
      <c r="BW325" s="47"/>
      <c r="BX325" s="194">
        <v>42</v>
      </c>
      <c r="BY325" s="194"/>
      <c r="BZ325" s="194"/>
      <c r="CA325" s="194"/>
      <c r="CB325" s="194"/>
      <c r="CC325" s="47"/>
      <c r="CD325" s="47"/>
      <c r="CE325" s="47">
        <v>41</v>
      </c>
      <c r="CF325" s="47"/>
      <c r="CG325" s="47"/>
      <c r="CH325" s="47"/>
      <c r="CI325" s="47"/>
      <c r="CJ325" s="47"/>
      <c r="CK325" s="224"/>
      <c r="CL325" s="194">
        <v>41.5</v>
      </c>
      <c r="CM325" s="47"/>
      <c r="CN325" s="47"/>
      <c r="CO325" s="47"/>
      <c r="CP325" s="47"/>
      <c r="CQ325" s="47"/>
      <c r="CR325" s="47"/>
      <c r="CS325" s="47"/>
      <c r="CT325" s="47"/>
      <c r="CU325" s="47"/>
      <c r="CV325" s="89">
        <v>42</v>
      </c>
      <c r="CW325" s="47"/>
      <c r="CX325" s="194"/>
      <c r="CY325" s="47"/>
      <c r="CZ325" s="47"/>
      <c r="DA325" s="47"/>
      <c r="DB325" s="47"/>
      <c r="DC325" s="47"/>
      <c r="DD325" s="47"/>
      <c r="DE325" s="47"/>
      <c r="DF325" s="47">
        <v>42</v>
      </c>
      <c r="DG325" s="47"/>
      <c r="DH325" s="47"/>
      <c r="DI325" s="47"/>
      <c r="DJ325" s="47"/>
      <c r="DK325" s="47">
        <v>41</v>
      </c>
      <c r="DL325" s="47"/>
      <c r="DM325" s="47">
        <v>42</v>
      </c>
      <c r="DN325" s="47"/>
      <c r="DO325" s="47"/>
      <c r="DP325" s="47"/>
      <c r="DQ325" s="47"/>
      <c r="DR325" s="47"/>
      <c r="DS325" s="47"/>
      <c r="DT325" s="47"/>
      <c r="DU325" s="47"/>
      <c r="DV325" s="47"/>
      <c r="DW325" s="198"/>
      <c r="DX325" s="47"/>
      <c r="DY325" s="194"/>
      <c r="DZ325" s="47"/>
      <c r="EA325" s="47"/>
      <c r="EB325" s="194"/>
      <c r="EC325" s="47"/>
      <c r="ED325" s="195"/>
      <c r="EE325" s="195"/>
      <c r="EF325" s="195"/>
      <c r="EG325" s="195">
        <v>42</v>
      </c>
      <c r="EH325" s="195">
        <v>97</v>
      </c>
      <c r="EI325" s="196">
        <f t="shared" si="16"/>
        <v>3472.6</v>
      </c>
      <c r="EJ325" s="201">
        <f t="shared" si="17"/>
        <v>45.465999999999994</v>
      </c>
      <c r="EK325" s="202">
        <v>41</v>
      </c>
      <c r="EL325" s="5"/>
      <c r="FA325" s="251">
        <f t="shared" si="18"/>
        <v>35.799999999999997</v>
      </c>
    </row>
    <row r="326" spans="1:157" s="1" customFormat="1" ht="20.149999999999999" customHeight="1" x14ac:dyDescent="0.35">
      <c r="A326" s="47"/>
      <c r="B326" s="373" t="s">
        <v>1064</v>
      </c>
      <c r="C326" s="47" t="s">
        <v>1734</v>
      </c>
      <c r="D326" s="386" t="s">
        <v>299</v>
      </c>
      <c r="E326" s="374" t="s">
        <v>55</v>
      </c>
      <c r="F326" s="374" t="s">
        <v>1598</v>
      </c>
      <c r="G326" s="2" t="s">
        <v>34</v>
      </c>
      <c r="H326" s="328">
        <v>21.5</v>
      </c>
      <c r="I326" s="47"/>
      <c r="J326" s="47"/>
      <c r="K326" s="47"/>
      <c r="L326" s="47"/>
      <c r="M326" s="47"/>
      <c r="N326" s="194"/>
      <c r="O326" s="194"/>
      <c r="P326" s="194"/>
      <c r="Q326" s="194"/>
      <c r="R326" s="47"/>
      <c r="S326" s="194"/>
      <c r="T326" s="47"/>
      <c r="U326" s="194"/>
      <c r="V326" s="47"/>
      <c r="W326" s="194"/>
      <c r="X326" s="47"/>
      <c r="Y326" s="194"/>
      <c r="Z326" s="194"/>
      <c r="AA326" s="47"/>
      <c r="AB326" s="47"/>
      <c r="AC326" s="47"/>
      <c r="AD326" s="47"/>
      <c r="AE326" s="194"/>
      <c r="AF326" s="194"/>
      <c r="AG326" s="194"/>
      <c r="AH326" s="5"/>
      <c r="AI326" s="47"/>
      <c r="AJ326" s="223"/>
      <c r="AK326" s="47"/>
      <c r="AL326" s="47"/>
      <c r="AM326" s="47"/>
      <c r="AN326" s="47"/>
      <c r="AO326" s="47"/>
      <c r="AP326" s="194"/>
      <c r="AQ326" s="47"/>
      <c r="AR326" s="47"/>
      <c r="AS326" s="47"/>
      <c r="AT326" s="194"/>
      <c r="AU326" s="194"/>
      <c r="AV326" s="194"/>
      <c r="AW326" s="194"/>
      <c r="AX326" s="194"/>
      <c r="AY326" s="194"/>
      <c r="AZ326" s="194"/>
      <c r="BA326" s="194"/>
      <c r="BB326" s="194"/>
      <c r="BC326" s="194"/>
      <c r="BD326" s="194"/>
      <c r="BE326" s="194"/>
      <c r="BF326" s="194"/>
      <c r="BG326" s="194"/>
      <c r="BH326" s="194"/>
      <c r="BI326" s="194"/>
      <c r="BJ326" s="194"/>
      <c r="BK326" s="194"/>
      <c r="BL326" s="194"/>
      <c r="BM326" s="194"/>
      <c r="BN326" s="194"/>
      <c r="BO326" s="194"/>
      <c r="BP326" s="194"/>
      <c r="BQ326" s="47"/>
      <c r="BR326" s="194"/>
      <c r="BS326" s="47"/>
      <c r="BT326" s="47">
        <v>25</v>
      </c>
      <c r="BU326" s="47"/>
      <c r="BV326" s="47"/>
      <c r="BW326" s="47"/>
      <c r="BX326" s="194"/>
      <c r="BY326" s="194"/>
      <c r="BZ326" s="194"/>
      <c r="CA326" s="194"/>
      <c r="CB326" s="194"/>
      <c r="CC326" s="47"/>
      <c r="CD326" s="47"/>
      <c r="CE326" s="47"/>
      <c r="CF326" s="47"/>
      <c r="CG326" s="47"/>
      <c r="CH326" s="47"/>
      <c r="CI326" s="47"/>
      <c r="CJ326" s="47"/>
      <c r="CK326" s="224"/>
      <c r="CL326" s="194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194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>
        <v>23</v>
      </c>
      <c r="DN326" s="47"/>
      <c r="DO326" s="47"/>
      <c r="DP326" s="47"/>
      <c r="DQ326" s="47"/>
      <c r="DR326" s="47"/>
      <c r="DS326" s="47"/>
      <c r="DT326" s="47"/>
      <c r="DU326" s="47"/>
      <c r="DV326" s="47">
        <v>30</v>
      </c>
      <c r="DW326" s="198"/>
      <c r="DX326" s="47"/>
      <c r="DY326" s="194"/>
      <c r="DZ326" s="47"/>
      <c r="EA326" s="47"/>
      <c r="EB326" s="194"/>
      <c r="EC326" s="47"/>
      <c r="ED326" s="195"/>
      <c r="EE326" s="195"/>
      <c r="EF326" s="195"/>
      <c r="EG326" s="195"/>
      <c r="EH326" s="195">
        <v>7</v>
      </c>
      <c r="EI326" s="196">
        <f t="shared" si="16"/>
        <v>150.5</v>
      </c>
      <c r="EJ326" s="201">
        <f t="shared" si="17"/>
        <v>27.305</v>
      </c>
      <c r="EK326" s="202">
        <v>25</v>
      </c>
      <c r="EL326" s="5"/>
      <c r="FA326" s="251">
        <f t="shared" si="18"/>
        <v>21.5</v>
      </c>
    </row>
    <row r="327" spans="1:157" s="1" customFormat="1" ht="20.149999999999999" customHeight="1" x14ac:dyDescent="0.35">
      <c r="A327" s="47"/>
      <c r="B327" s="189" t="s">
        <v>1179</v>
      </c>
      <c r="C327" s="47" t="s">
        <v>197</v>
      </c>
      <c r="D327" s="2"/>
      <c r="E327" s="2" t="s">
        <v>55</v>
      </c>
      <c r="F327" s="48" t="s">
        <v>764</v>
      </c>
      <c r="G327" s="48" t="s">
        <v>35</v>
      </c>
      <c r="H327" s="328"/>
      <c r="I327" s="47"/>
      <c r="J327" s="47"/>
      <c r="K327" s="47"/>
      <c r="L327" s="47"/>
      <c r="M327" s="47"/>
      <c r="N327" s="194"/>
      <c r="O327" s="194"/>
      <c r="P327" s="194"/>
      <c r="Q327" s="194"/>
      <c r="R327" s="47"/>
      <c r="S327" s="194"/>
      <c r="T327" s="47"/>
      <c r="U327" s="194"/>
      <c r="V327" s="47"/>
      <c r="W327" s="194"/>
      <c r="X327" s="47"/>
      <c r="Y327" s="194"/>
      <c r="Z327" s="194"/>
      <c r="AA327" s="47"/>
      <c r="AB327" s="47"/>
      <c r="AC327" s="47"/>
      <c r="AD327" s="47"/>
      <c r="AE327" s="194"/>
      <c r="AF327" s="194"/>
      <c r="AG327" s="194"/>
      <c r="AH327" s="5"/>
      <c r="AI327" s="47"/>
      <c r="AJ327" s="223"/>
      <c r="AK327" s="47"/>
      <c r="AL327" s="47"/>
      <c r="AM327" s="47"/>
      <c r="AN327" s="47"/>
      <c r="AO327" s="47"/>
      <c r="AP327" s="194"/>
      <c r="AQ327" s="47"/>
      <c r="AR327" s="47"/>
      <c r="AS327" s="47"/>
      <c r="AT327" s="194"/>
      <c r="AU327" s="194"/>
      <c r="AV327" s="194"/>
      <c r="AW327" s="194"/>
      <c r="AX327" s="194"/>
      <c r="AY327" s="194"/>
      <c r="AZ327" s="194"/>
      <c r="BA327" s="194"/>
      <c r="BB327" s="194"/>
      <c r="BC327" s="194"/>
      <c r="BD327" s="194"/>
      <c r="BE327" s="194"/>
      <c r="BF327" s="194"/>
      <c r="BG327" s="194"/>
      <c r="BH327" s="194"/>
      <c r="BI327" s="194"/>
      <c r="BJ327" s="194"/>
      <c r="BK327" s="194"/>
      <c r="BL327" s="194"/>
      <c r="BM327" s="194"/>
      <c r="BN327" s="194"/>
      <c r="BO327" s="194"/>
      <c r="BP327" s="194"/>
      <c r="BQ327" s="47"/>
      <c r="BR327" s="194"/>
      <c r="BS327" s="47"/>
      <c r="BT327" s="47"/>
      <c r="BU327" s="47"/>
      <c r="BV327" s="47"/>
      <c r="BW327" s="47"/>
      <c r="BX327" s="194"/>
      <c r="BY327" s="194"/>
      <c r="BZ327" s="194"/>
      <c r="CA327" s="194"/>
      <c r="CB327" s="194"/>
      <c r="CC327" s="47"/>
      <c r="CD327" s="47"/>
      <c r="CE327" s="47"/>
      <c r="CF327" s="47"/>
      <c r="CG327" s="47"/>
      <c r="CH327" s="47"/>
      <c r="CI327" s="47"/>
      <c r="CJ327" s="47"/>
      <c r="CK327" s="224"/>
      <c r="CL327" s="194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194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>
        <v>0.7</v>
      </c>
      <c r="DV327" s="47"/>
      <c r="DW327" s="198"/>
      <c r="DX327" s="47"/>
      <c r="DY327" s="194"/>
      <c r="DZ327" s="47"/>
      <c r="EA327" s="47"/>
      <c r="EB327" s="194"/>
      <c r="EC327" s="47"/>
      <c r="ED327" s="195"/>
      <c r="EE327" s="195"/>
      <c r="EF327" s="195"/>
      <c r="EG327" s="195"/>
      <c r="EH327" s="195"/>
      <c r="EI327" s="196"/>
      <c r="EJ327" s="201"/>
      <c r="EK327" s="202"/>
      <c r="EL327" s="5"/>
      <c r="FA327" s="251">
        <f t="shared" si="18"/>
        <v>0</v>
      </c>
    </row>
    <row r="328" spans="1:157" s="1" customFormat="1" ht="20.149999999999999" customHeight="1" x14ac:dyDescent="0.35">
      <c r="A328" s="47"/>
      <c r="B328" s="47" t="s">
        <v>1060</v>
      </c>
      <c r="C328" s="47" t="s">
        <v>1599</v>
      </c>
      <c r="D328" s="252" t="s">
        <v>636</v>
      </c>
      <c r="E328" s="2" t="s">
        <v>33</v>
      </c>
      <c r="F328" s="2" t="s">
        <v>1600</v>
      </c>
      <c r="G328" s="375" t="s">
        <v>912</v>
      </c>
      <c r="H328" s="328">
        <v>13</v>
      </c>
      <c r="I328" s="47"/>
      <c r="J328" s="47"/>
      <c r="K328" s="47"/>
      <c r="L328" s="47"/>
      <c r="M328" s="47"/>
      <c r="N328" s="194"/>
      <c r="O328" s="194"/>
      <c r="P328" s="194"/>
      <c r="Q328" s="194"/>
      <c r="R328" s="47"/>
      <c r="S328" s="194"/>
      <c r="T328" s="47"/>
      <c r="U328" s="194"/>
      <c r="V328" s="47"/>
      <c r="W328" s="194"/>
      <c r="X328" s="47"/>
      <c r="Y328" s="194"/>
      <c r="Z328" s="194"/>
      <c r="AA328" s="47"/>
      <c r="AB328" s="47"/>
      <c r="AC328" s="47"/>
      <c r="AD328" s="47"/>
      <c r="AE328" s="194"/>
      <c r="AF328" s="194"/>
      <c r="AG328" s="194"/>
      <c r="AH328" s="5"/>
      <c r="AI328" s="47"/>
      <c r="AJ328" s="223"/>
      <c r="AK328" s="47"/>
      <c r="AL328" s="47"/>
      <c r="AM328" s="47"/>
      <c r="AN328" s="47"/>
      <c r="AO328" s="47"/>
      <c r="AP328" s="194"/>
      <c r="AQ328" s="47"/>
      <c r="AR328" s="47"/>
      <c r="AS328" s="47"/>
      <c r="AT328" s="194"/>
      <c r="AU328" s="194"/>
      <c r="AV328" s="194"/>
      <c r="AW328" s="194"/>
      <c r="AX328" s="194"/>
      <c r="AY328" s="194"/>
      <c r="AZ328" s="194"/>
      <c r="BA328" s="194"/>
      <c r="BB328" s="194"/>
      <c r="BC328" s="194"/>
      <c r="BD328" s="194"/>
      <c r="BE328" s="194"/>
      <c r="BF328" s="194"/>
      <c r="BG328" s="194"/>
      <c r="BH328" s="194"/>
      <c r="BI328" s="194"/>
      <c r="BJ328" s="194"/>
      <c r="BK328" s="194"/>
      <c r="BL328" s="194"/>
      <c r="BM328" s="194"/>
      <c r="BN328" s="194"/>
      <c r="BO328" s="194"/>
      <c r="BP328" s="194"/>
      <c r="BQ328" s="47"/>
      <c r="BR328" s="194"/>
      <c r="BS328" s="47"/>
      <c r="BT328" s="47"/>
      <c r="BU328" s="47"/>
      <c r="BV328" s="47"/>
      <c r="BW328" s="47"/>
      <c r="BX328" s="194"/>
      <c r="BY328" s="194"/>
      <c r="BZ328" s="194"/>
      <c r="CA328" s="194"/>
      <c r="CB328" s="194"/>
      <c r="CC328" s="47"/>
      <c r="CD328" s="47"/>
      <c r="CE328" s="47"/>
      <c r="CF328" s="47"/>
      <c r="CG328" s="47"/>
      <c r="CH328" s="47"/>
      <c r="CI328" s="47"/>
      <c r="CJ328" s="47"/>
      <c r="CK328" s="224"/>
      <c r="CL328" s="194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194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198"/>
      <c r="DX328" s="47"/>
      <c r="DY328" s="194"/>
      <c r="DZ328" s="47"/>
      <c r="EA328" s="47"/>
      <c r="EB328" s="194"/>
      <c r="EC328" s="47"/>
      <c r="ED328" s="195"/>
      <c r="EE328" s="195"/>
      <c r="EF328" s="195"/>
      <c r="EG328" s="195"/>
      <c r="EH328" s="195">
        <v>8</v>
      </c>
      <c r="EI328" s="196">
        <f t="shared" si="16"/>
        <v>104</v>
      </c>
      <c r="EJ328" s="201">
        <f t="shared" si="17"/>
        <v>16.510000000000002</v>
      </c>
      <c r="EK328" s="202" t="e">
        <f t="shared" si="19"/>
        <v>#DIV/0!</v>
      </c>
      <c r="EL328" s="5"/>
      <c r="FA328" s="251">
        <f t="shared" si="18"/>
        <v>13</v>
      </c>
    </row>
    <row r="329" spans="1:157" s="1" customFormat="1" ht="20.149999999999999" customHeight="1" x14ac:dyDescent="0.35">
      <c r="A329" s="47"/>
      <c r="B329" s="47" t="s">
        <v>1061</v>
      </c>
      <c r="C329" s="47" t="s">
        <v>197</v>
      </c>
      <c r="D329" s="252" t="s">
        <v>299</v>
      </c>
      <c r="E329" s="2" t="s">
        <v>86</v>
      </c>
      <c r="F329" s="2" t="s">
        <v>405</v>
      </c>
      <c r="G329" s="2" t="s">
        <v>34</v>
      </c>
      <c r="H329" s="328">
        <f>3450/113</f>
        <v>30.530973451327434</v>
      </c>
      <c r="I329" s="47"/>
      <c r="J329" s="47"/>
      <c r="K329" s="47"/>
      <c r="L329" s="47">
        <v>41</v>
      </c>
      <c r="M329" s="47"/>
      <c r="N329" s="194"/>
      <c r="O329" s="194"/>
      <c r="P329" s="194"/>
      <c r="Q329" s="194"/>
      <c r="R329" s="47"/>
      <c r="S329" s="194"/>
      <c r="T329" s="47"/>
      <c r="U329" s="194"/>
      <c r="V329" s="47"/>
      <c r="W329" s="194"/>
      <c r="X329" s="47"/>
      <c r="Y329" s="194"/>
      <c r="Z329" s="194"/>
      <c r="AA329" s="47"/>
      <c r="AB329" s="47"/>
      <c r="AC329" s="47"/>
      <c r="AD329" s="47"/>
      <c r="AE329" s="194"/>
      <c r="AF329" s="194"/>
      <c r="AG329" s="194"/>
      <c r="AH329" s="5"/>
      <c r="AI329" s="47"/>
      <c r="AJ329" s="223"/>
      <c r="AK329" s="47"/>
      <c r="AL329" s="47"/>
      <c r="AM329" s="47"/>
      <c r="AN329" s="47"/>
      <c r="AO329" s="47"/>
      <c r="AP329" s="194"/>
      <c r="AQ329" s="47"/>
      <c r="AR329" s="47">
        <v>41</v>
      </c>
      <c r="AS329" s="47"/>
      <c r="AT329" s="194"/>
      <c r="AU329" s="194"/>
      <c r="AV329" s="194"/>
      <c r="AW329" s="194"/>
      <c r="AX329" s="194"/>
      <c r="AY329" s="194"/>
      <c r="AZ329" s="194"/>
      <c r="BA329" s="194"/>
      <c r="BB329" s="194"/>
      <c r="BC329" s="194"/>
      <c r="BD329" s="194"/>
      <c r="BE329" s="194"/>
      <c r="BF329" s="194"/>
      <c r="BG329" s="194"/>
      <c r="BH329" s="194"/>
      <c r="BI329" s="194"/>
      <c r="BJ329" s="194"/>
      <c r="BK329" s="194"/>
      <c r="BL329" s="194"/>
      <c r="BM329" s="194"/>
      <c r="BN329" s="194"/>
      <c r="BO329" s="194"/>
      <c r="BP329" s="194"/>
      <c r="BQ329" s="47">
        <v>41</v>
      </c>
      <c r="BR329" s="194"/>
      <c r="BS329" s="47">
        <v>41</v>
      </c>
      <c r="BT329" s="47">
        <v>41</v>
      </c>
      <c r="BU329" s="47"/>
      <c r="BV329" s="47"/>
      <c r="BW329" s="47"/>
      <c r="BX329" s="194">
        <v>41</v>
      </c>
      <c r="BY329" s="194"/>
      <c r="BZ329" s="194"/>
      <c r="CA329" s="194"/>
      <c r="CB329" s="194"/>
      <c r="CC329" s="47"/>
      <c r="CD329" s="47"/>
      <c r="CE329" s="47"/>
      <c r="CF329" s="47"/>
      <c r="CG329" s="47"/>
      <c r="CH329" s="47"/>
      <c r="CI329" s="47"/>
      <c r="CJ329" s="47"/>
      <c r="CK329" s="224"/>
      <c r="CL329" s="194"/>
      <c r="CM329" s="47"/>
      <c r="CN329" s="47"/>
      <c r="CO329" s="47">
        <v>41</v>
      </c>
      <c r="CP329" s="47">
        <v>41</v>
      </c>
      <c r="CQ329" s="47"/>
      <c r="CR329" s="47"/>
      <c r="CS329" s="198">
        <v>41</v>
      </c>
      <c r="CT329" s="47"/>
      <c r="CU329" s="47"/>
      <c r="CV329" s="47"/>
      <c r="CW329" s="47"/>
      <c r="CX329" s="194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>
        <v>41</v>
      </c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198"/>
      <c r="DX329" s="47"/>
      <c r="DY329" s="194"/>
      <c r="DZ329" s="47"/>
      <c r="EA329" s="47"/>
      <c r="EB329" s="194"/>
      <c r="EC329" s="47"/>
      <c r="ED329" s="195"/>
      <c r="EE329" s="195"/>
      <c r="EF329" s="195"/>
      <c r="EG329" s="195"/>
      <c r="EH329" s="195">
        <v>51</v>
      </c>
      <c r="EI329" s="196">
        <f t="shared" si="16"/>
        <v>1557.0796460176991</v>
      </c>
      <c r="EJ329" s="201">
        <f t="shared" si="17"/>
        <v>38.774336283185839</v>
      </c>
      <c r="EK329" s="202">
        <v>38</v>
      </c>
      <c r="EL329" s="5"/>
      <c r="FA329" s="251">
        <f t="shared" si="18"/>
        <v>30.530973451327434</v>
      </c>
    </row>
    <row r="330" spans="1:157" s="1" customFormat="1" ht="20.149999999999999" customHeight="1" x14ac:dyDescent="0.35">
      <c r="A330" s="47"/>
      <c r="B330" s="47" t="s">
        <v>1062</v>
      </c>
      <c r="C330" s="47" t="s">
        <v>300</v>
      </c>
      <c r="D330" s="252" t="s">
        <v>56</v>
      </c>
      <c r="E330" s="2" t="s">
        <v>33</v>
      </c>
      <c r="F330" s="2" t="s">
        <v>1601</v>
      </c>
      <c r="G330" s="2" t="s">
        <v>45</v>
      </c>
      <c r="H330" s="328">
        <v>6.5</v>
      </c>
      <c r="I330" s="47"/>
      <c r="J330" s="47"/>
      <c r="K330" s="47"/>
      <c r="L330" s="47"/>
      <c r="M330" s="47"/>
      <c r="N330" s="194"/>
      <c r="O330" s="194"/>
      <c r="P330" s="194"/>
      <c r="Q330" s="194"/>
      <c r="R330" s="47"/>
      <c r="S330" s="194"/>
      <c r="T330" s="47"/>
      <c r="U330" s="194"/>
      <c r="V330" s="47"/>
      <c r="W330" s="194"/>
      <c r="X330" s="47"/>
      <c r="Y330" s="194"/>
      <c r="Z330" s="194"/>
      <c r="AA330" s="47"/>
      <c r="AB330" s="47"/>
      <c r="AC330" s="47"/>
      <c r="AD330" s="47"/>
      <c r="AE330" s="194"/>
      <c r="AF330" s="194"/>
      <c r="AG330" s="194"/>
      <c r="AH330" s="5"/>
      <c r="AI330" s="47"/>
      <c r="AJ330" s="198"/>
      <c r="AK330" s="47"/>
      <c r="AL330" s="47"/>
      <c r="AM330" s="47"/>
      <c r="AN330" s="47"/>
      <c r="AO330" s="47"/>
      <c r="AP330" s="194"/>
      <c r="AQ330" s="47"/>
      <c r="AR330" s="47"/>
      <c r="AS330" s="47"/>
      <c r="AT330" s="194"/>
      <c r="AU330" s="194"/>
      <c r="AV330" s="194"/>
      <c r="AW330" s="194"/>
      <c r="AX330" s="194"/>
      <c r="AY330" s="194"/>
      <c r="AZ330" s="194"/>
      <c r="BA330" s="194"/>
      <c r="BB330" s="194"/>
      <c r="BC330" s="194"/>
      <c r="BD330" s="194"/>
      <c r="BE330" s="194"/>
      <c r="BF330" s="194"/>
      <c r="BG330" s="194"/>
      <c r="BH330" s="194"/>
      <c r="BI330" s="194"/>
      <c r="BJ330" s="194"/>
      <c r="BK330" s="194"/>
      <c r="BL330" s="194"/>
      <c r="BM330" s="194"/>
      <c r="BN330" s="194"/>
      <c r="BO330" s="194">
        <v>10.8</v>
      </c>
      <c r="BP330" s="194"/>
      <c r="BQ330" s="47"/>
      <c r="BR330" s="194"/>
      <c r="BS330" s="47"/>
      <c r="BT330" s="47"/>
      <c r="BU330" s="47"/>
      <c r="BV330" s="47"/>
      <c r="BW330" s="47"/>
      <c r="BX330" s="194"/>
      <c r="BY330" s="194"/>
      <c r="BZ330" s="194"/>
      <c r="CA330" s="194"/>
      <c r="CB330" s="194"/>
      <c r="CC330" s="47"/>
      <c r="CD330" s="47"/>
      <c r="CE330" s="47">
        <v>9</v>
      </c>
      <c r="CF330" s="47"/>
      <c r="CG330" s="47"/>
      <c r="CH330" s="47"/>
      <c r="CI330" s="47"/>
      <c r="CJ330" s="47"/>
      <c r="CK330" s="47"/>
      <c r="CL330" s="194"/>
      <c r="CM330" s="47"/>
      <c r="CN330" s="47"/>
      <c r="CO330" s="47"/>
      <c r="CP330" s="47">
        <v>2</v>
      </c>
      <c r="CQ330" s="47"/>
      <c r="CR330" s="47"/>
      <c r="CS330" s="47"/>
      <c r="CT330" s="47"/>
      <c r="CU330" s="47"/>
      <c r="CV330" s="47"/>
      <c r="CW330" s="47"/>
      <c r="CX330" s="194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198"/>
      <c r="DX330" s="47"/>
      <c r="DY330" s="194"/>
      <c r="DZ330" s="47"/>
      <c r="EA330" s="47"/>
      <c r="EB330" s="194"/>
      <c r="EC330" s="47"/>
      <c r="ED330" s="195"/>
      <c r="EE330" s="195">
        <v>7</v>
      </c>
      <c r="EF330" s="195"/>
      <c r="EG330" s="195"/>
      <c r="EH330" s="195">
        <v>5</v>
      </c>
      <c r="EI330" s="196">
        <f t="shared" si="16"/>
        <v>32.5</v>
      </c>
      <c r="EJ330" s="201">
        <f t="shared" si="17"/>
        <v>8.2550000000000008</v>
      </c>
      <c r="EK330" s="202">
        <v>9</v>
      </c>
      <c r="EL330" s="5"/>
      <c r="FA330" s="251">
        <f t="shared" si="18"/>
        <v>6.5</v>
      </c>
    </row>
    <row r="331" spans="1:157" s="1" customFormat="1" ht="20.149999999999999" customHeight="1" x14ac:dyDescent="0.35">
      <c r="A331" s="47"/>
      <c r="B331" s="47" t="s">
        <v>1063</v>
      </c>
      <c r="C331" s="47" t="s">
        <v>210</v>
      </c>
      <c r="D331" s="252" t="s">
        <v>638</v>
      </c>
      <c r="E331" s="2" t="s">
        <v>33</v>
      </c>
      <c r="F331" s="2" t="s">
        <v>92</v>
      </c>
      <c r="G331" s="2" t="s">
        <v>93</v>
      </c>
      <c r="H331" s="57">
        <v>27</v>
      </c>
      <c r="I331" s="47"/>
      <c r="J331" s="47"/>
      <c r="K331" s="47"/>
      <c r="L331" s="47"/>
      <c r="M331" s="47"/>
      <c r="N331" s="194"/>
      <c r="O331" s="194"/>
      <c r="P331" s="194"/>
      <c r="Q331" s="194">
        <v>20</v>
      </c>
      <c r="R331" s="194">
        <v>22</v>
      </c>
      <c r="S331" s="194"/>
      <c r="T331" s="47"/>
      <c r="U331" s="194"/>
      <c r="V331" s="47"/>
      <c r="W331" s="194"/>
      <c r="X331" s="47"/>
      <c r="Y331" s="194"/>
      <c r="Z331" s="194"/>
      <c r="AA331" s="47"/>
      <c r="AB331" s="47"/>
      <c r="AC331" s="47"/>
      <c r="AD331" s="47"/>
      <c r="AE331" s="194"/>
      <c r="AF331" s="194">
        <v>21</v>
      </c>
      <c r="AG331" s="194"/>
      <c r="AH331" s="5"/>
      <c r="AI331" s="47"/>
      <c r="AJ331" s="198"/>
      <c r="AK331" s="47"/>
      <c r="AL331" s="47"/>
      <c r="AM331" s="47"/>
      <c r="AN331" s="47"/>
      <c r="AO331" s="47"/>
      <c r="AP331" s="194"/>
      <c r="AQ331" s="47"/>
      <c r="AR331" s="47"/>
      <c r="AS331" s="47"/>
      <c r="AT331" s="194"/>
      <c r="AU331" s="194"/>
      <c r="AV331" s="194"/>
      <c r="AW331" s="194"/>
      <c r="AX331" s="194"/>
      <c r="AY331" s="194"/>
      <c r="AZ331" s="194"/>
      <c r="BA331" s="194"/>
      <c r="BB331" s="194"/>
      <c r="BC331" s="194"/>
      <c r="BD331" s="194">
        <v>21</v>
      </c>
      <c r="BE331" s="194"/>
      <c r="BF331" s="194"/>
      <c r="BG331" s="194"/>
      <c r="BH331" s="194"/>
      <c r="BI331" s="194">
        <v>26</v>
      </c>
      <c r="BJ331" s="194"/>
      <c r="BK331" s="194"/>
      <c r="BL331" s="194"/>
      <c r="BM331" s="194"/>
      <c r="BN331" s="194"/>
      <c r="BO331" s="194">
        <v>21</v>
      </c>
      <c r="BP331" s="194"/>
      <c r="BQ331" s="47"/>
      <c r="BR331" s="194"/>
      <c r="BS331" s="47"/>
      <c r="BT331" s="47"/>
      <c r="BU331" s="47"/>
      <c r="BV331" s="47"/>
      <c r="BW331" s="47"/>
      <c r="BX331" s="194"/>
      <c r="BY331" s="194"/>
      <c r="BZ331" s="194"/>
      <c r="CA331" s="194"/>
      <c r="CB331" s="194"/>
      <c r="CC331" s="47"/>
      <c r="CD331" s="47"/>
      <c r="CE331" s="47"/>
      <c r="CF331" s="47"/>
      <c r="CG331" s="47"/>
      <c r="CH331" s="47"/>
      <c r="CI331" s="47"/>
      <c r="CJ331" s="47"/>
      <c r="CK331" s="47"/>
      <c r="CL331" s="194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194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198"/>
      <c r="DX331" s="47"/>
      <c r="DY331" s="194"/>
      <c r="DZ331" s="47"/>
      <c r="EA331" s="47"/>
      <c r="EB331" s="194"/>
      <c r="EC331" s="47"/>
      <c r="ED331" s="195"/>
      <c r="EE331" s="195"/>
      <c r="EF331" s="195"/>
      <c r="EG331" s="195"/>
      <c r="EH331" s="195">
        <v>1</v>
      </c>
      <c r="EI331" s="196">
        <f t="shared" si="16"/>
        <v>27</v>
      </c>
      <c r="EJ331" s="201">
        <f t="shared" si="17"/>
        <v>34.29</v>
      </c>
      <c r="EK331" s="202">
        <v>21</v>
      </c>
      <c r="EL331" s="5"/>
      <c r="FA331" s="251">
        <f t="shared" si="18"/>
        <v>27</v>
      </c>
    </row>
    <row r="332" spans="1:157" s="1" customFormat="1" ht="20.149999999999999" customHeight="1" x14ac:dyDescent="0.35">
      <c r="A332" s="47"/>
      <c r="B332" s="47" t="s">
        <v>1065</v>
      </c>
      <c r="C332" s="47" t="s">
        <v>211</v>
      </c>
      <c r="D332" s="252" t="s">
        <v>638</v>
      </c>
      <c r="E332" s="2" t="s">
        <v>33</v>
      </c>
      <c r="F332" s="2" t="s">
        <v>92</v>
      </c>
      <c r="G332" s="2" t="s">
        <v>93</v>
      </c>
      <c r="H332" s="333">
        <v>27</v>
      </c>
      <c r="I332" s="47"/>
      <c r="J332" s="47"/>
      <c r="K332" s="47"/>
      <c r="L332" s="47"/>
      <c r="M332" s="47"/>
      <c r="N332" s="194"/>
      <c r="O332" s="194"/>
      <c r="P332" s="194"/>
      <c r="Q332" s="194">
        <v>21</v>
      </c>
      <c r="R332" s="194">
        <v>22</v>
      </c>
      <c r="S332" s="194"/>
      <c r="T332" s="47"/>
      <c r="U332" s="194"/>
      <c r="V332" s="47"/>
      <c r="W332" s="194"/>
      <c r="X332" s="47"/>
      <c r="Y332" s="194"/>
      <c r="Z332" s="194"/>
      <c r="AA332" s="47"/>
      <c r="AB332" s="47"/>
      <c r="AC332" s="47"/>
      <c r="AD332" s="47"/>
      <c r="AE332" s="194"/>
      <c r="AF332" s="194">
        <v>21</v>
      </c>
      <c r="AG332" s="194"/>
      <c r="AH332" s="5"/>
      <c r="AI332" s="47"/>
      <c r="AJ332" s="198"/>
      <c r="AK332" s="47"/>
      <c r="AL332" s="47"/>
      <c r="AM332" s="47"/>
      <c r="AN332" s="47"/>
      <c r="AO332" s="47"/>
      <c r="AP332" s="194"/>
      <c r="AQ332" s="47"/>
      <c r="AR332" s="47"/>
      <c r="AS332" s="47"/>
      <c r="AT332" s="194"/>
      <c r="AU332" s="194"/>
      <c r="AV332" s="194"/>
      <c r="AW332" s="194"/>
      <c r="AX332" s="194"/>
      <c r="AY332" s="194"/>
      <c r="AZ332" s="194"/>
      <c r="BA332" s="194">
        <v>22</v>
      </c>
      <c r="BB332" s="194"/>
      <c r="BC332" s="194"/>
      <c r="BD332" s="194">
        <v>21</v>
      </c>
      <c r="BE332" s="194"/>
      <c r="BF332" s="194"/>
      <c r="BG332" s="194"/>
      <c r="BH332" s="194"/>
      <c r="BI332" s="194"/>
      <c r="BJ332" s="194"/>
      <c r="BK332" s="194"/>
      <c r="BL332" s="194"/>
      <c r="BM332" s="194"/>
      <c r="BN332" s="194"/>
      <c r="BO332" s="194">
        <v>21</v>
      </c>
      <c r="BP332" s="194"/>
      <c r="BQ332" s="47"/>
      <c r="BR332" s="194"/>
      <c r="BS332" s="47"/>
      <c r="BT332" s="47"/>
      <c r="BU332" s="47"/>
      <c r="BV332" s="47"/>
      <c r="BW332" s="47"/>
      <c r="BX332" s="194"/>
      <c r="BY332" s="194"/>
      <c r="BZ332" s="194"/>
      <c r="CA332" s="194"/>
      <c r="CB332" s="194"/>
      <c r="CC332" s="47"/>
      <c r="CD332" s="47"/>
      <c r="CE332" s="47"/>
      <c r="CF332" s="47"/>
      <c r="CG332" s="47"/>
      <c r="CH332" s="47"/>
      <c r="CI332" s="47"/>
      <c r="CJ332" s="47"/>
      <c r="CK332" s="47"/>
      <c r="CL332" s="194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194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>
        <v>35</v>
      </c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198"/>
      <c r="DX332" s="47"/>
      <c r="DY332" s="194"/>
      <c r="DZ332" s="47"/>
      <c r="EA332" s="47"/>
      <c r="EB332" s="194"/>
      <c r="EC332" s="47"/>
      <c r="ED332" s="195"/>
      <c r="EE332" s="195"/>
      <c r="EF332" s="195"/>
      <c r="EG332" s="195"/>
      <c r="EH332" s="195">
        <v>2</v>
      </c>
      <c r="EI332" s="196">
        <f t="shared" si="16"/>
        <v>54</v>
      </c>
      <c r="EJ332" s="201">
        <f t="shared" si="17"/>
        <v>34.29</v>
      </c>
      <c r="EK332" s="202">
        <v>21</v>
      </c>
      <c r="EL332" s="5"/>
      <c r="FA332" s="251">
        <f t="shared" si="18"/>
        <v>27</v>
      </c>
    </row>
    <row r="333" spans="1:157" s="1" customFormat="1" ht="20.149999999999999" customHeight="1" x14ac:dyDescent="0.35">
      <c r="A333" s="47"/>
      <c r="B333" s="47" t="s">
        <v>1066</v>
      </c>
      <c r="C333" s="47" t="s">
        <v>212</v>
      </c>
      <c r="D333" s="252" t="s">
        <v>638</v>
      </c>
      <c r="E333" s="2" t="s">
        <v>33</v>
      </c>
      <c r="F333" s="2" t="s">
        <v>92</v>
      </c>
      <c r="G333" s="2" t="s">
        <v>93</v>
      </c>
      <c r="H333" s="57">
        <v>27</v>
      </c>
      <c r="I333" s="47"/>
      <c r="J333" s="47"/>
      <c r="K333" s="47"/>
      <c r="L333" s="47"/>
      <c r="M333" s="47"/>
      <c r="N333" s="194"/>
      <c r="O333" s="194"/>
      <c r="P333" s="194"/>
      <c r="Q333" s="194">
        <v>20</v>
      </c>
      <c r="R333" s="194">
        <v>22</v>
      </c>
      <c r="S333" s="194"/>
      <c r="T333" s="47"/>
      <c r="U333" s="194"/>
      <c r="V333" s="47"/>
      <c r="W333" s="194"/>
      <c r="X333" s="47"/>
      <c r="Y333" s="194"/>
      <c r="Z333" s="194"/>
      <c r="AA333" s="47"/>
      <c r="AB333" s="47"/>
      <c r="AC333" s="47"/>
      <c r="AD333" s="47"/>
      <c r="AE333" s="194"/>
      <c r="AF333" s="194">
        <v>21</v>
      </c>
      <c r="AG333" s="194"/>
      <c r="AH333" s="5"/>
      <c r="AI333" s="47"/>
      <c r="AJ333" s="198"/>
      <c r="AK333" s="47"/>
      <c r="AL333" s="47"/>
      <c r="AM333" s="47"/>
      <c r="AN333" s="47"/>
      <c r="AO333" s="47"/>
      <c r="AP333" s="194"/>
      <c r="AQ333" s="47"/>
      <c r="AR333" s="47"/>
      <c r="AS333" s="47"/>
      <c r="AT333" s="194"/>
      <c r="AU333" s="194"/>
      <c r="AV333" s="194"/>
      <c r="AW333" s="194"/>
      <c r="AX333" s="194"/>
      <c r="AY333" s="194"/>
      <c r="AZ333" s="194"/>
      <c r="BA333" s="194"/>
      <c r="BB333" s="194"/>
      <c r="BC333" s="194"/>
      <c r="BD333" s="194">
        <v>21</v>
      </c>
      <c r="BE333" s="194"/>
      <c r="BF333" s="194"/>
      <c r="BG333" s="194"/>
      <c r="BH333" s="194"/>
      <c r="BI333" s="194"/>
      <c r="BJ333" s="194"/>
      <c r="BK333" s="194"/>
      <c r="BL333" s="194"/>
      <c r="BM333" s="194"/>
      <c r="BN333" s="194"/>
      <c r="BO333" s="194">
        <v>21</v>
      </c>
      <c r="BP333" s="194"/>
      <c r="BQ333" s="47"/>
      <c r="BR333" s="194"/>
      <c r="BS333" s="47"/>
      <c r="BT333" s="47"/>
      <c r="BU333" s="47"/>
      <c r="BV333" s="47"/>
      <c r="BW333" s="47"/>
      <c r="BX333" s="194"/>
      <c r="BY333" s="194"/>
      <c r="BZ333" s="194"/>
      <c r="CA333" s="194"/>
      <c r="CB333" s="194"/>
      <c r="CC333" s="47"/>
      <c r="CD333" s="47"/>
      <c r="CE333" s="47"/>
      <c r="CF333" s="47"/>
      <c r="CG333" s="47"/>
      <c r="CH333" s="47"/>
      <c r="CI333" s="47"/>
      <c r="CJ333" s="47"/>
      <c r="CK333" s="47"/>
      <c r="CL333" s="194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194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198"/>
      <c r="DX333" s="47"/>
      <c r="DY333" s="194"/>
      <c r="DZ333" s="47"/>
      <c r="EA333" s="47"/>
      <c r="EB333" s="194"/>
      <c r="EC333" s="47"/>
      <c r="ED333" s="195"/>
      <c r="EE333" s="195"/>
      <c r="EF333" s="195"/>
      <c r="EG333" s="195"/>
      <c r="EH333" s="195">
        <v>1</v>
      </c>
      <c r="EI333" s="196">
        <f t="shared" si="16"/>
        <v>27</v>
      </c>
      <c r="EJ333" s="201">
        <f t="shared" si="17"/>
        <v>34.29</v>
      </c>
      <c r="EK333" s="202">
        <v>21</v>
      </c>
      <c r="EL333" s="5"/>
      <c r="FA333" s="251">
        <f t="shared" si="18"/>
        <v>27</v>
      </c>
    </row>
    <row r="334" spans="1:157" s="1" customFormat="1" ht="20.149999999999999" customHeight="1" x14ac:dyDescent="0.35">
      <c r="A334" s="47"/>
      <c r="B334" s="47" t="s">
        <v>1067</v>
      </c>
      <c r="C334" s="47" t="s">
        <v>213</v>
      </c>
      <c r="D334" s="252" t="s">
        <v>638</v>
      </c>
      <c r="E334" s="2" t="s">
        <v>33</v>
      </c>
      <c r="F334" s="2" t="s">
        <v>92</v>
      </c>
      <c r="G334" s="2" t="s">
        <v>93</v>
      </c>
      <c r="H334" s="57">
        <v>13.5</v>
      </c>
      <c r="I334" s="47"/>
      <c r="J334" s="47"/>
      <c r="K334" s="47"/>
      <c r="L334" s="47"/>
      <c r="M334" s="47"/>
      <c r="N334" s="194"/>
      <c r="O334" s="194"/>
      <c r="P334" s="194"/>
      <c r="Q334" s="194">
        <v>15</v>
      </c>
      <c r="R334" s="194">
        <v>16</v>
      </c>
      <c r="S334" s="194"/>
      <c r="T334" s="47"/>
      <c r="U334" s="194"/>
      <c r="V334" s="47"/>
      <c r="W334" s="194"/>
      <c r="X334" s="47"/>
      <c r="Y334" s="194"/>
      <c r="Z334" s="194"/>
      <c r="AA334" s="47"/>
      <c r="AB334" s="47"/>
      <c r="AC334" s="47"/>
      <c r="AD334" s="47"/>
      <c r="AE334" s="194"/>
      <c r="AF334" s="194">
        <v>16</v>
      </c>
      <c r="AG334" s="194"/>
      <c r="AH334" s="5"/>
      <c r="AI334" s="47"/>
      <c r="AJ334" s="198"/>
      <c r="AK334" s="47"/>
      <c r="AL334" s="47"/>
      <c r="AM334" s="47"/>
      <c r="AN334" s="47"/>
      <c r="AO334" s="47"/>
      <c r="AP334" s="194"/>
      <c r="AQ334" s="47"/>
      <c r="AR334" s="47"/>
      <c r="AS334" s="47"/>
      <c r="AT334" s="194"/>
      <c r="AU334" s="194"/>
      <c r="AV334" s="194"/>
      <c r="AW334" s="194"/>
      <c r="AX334" s="194"/>
      <c r="AY334" s="194"/>
      <c r="AZ334" s="194"/>
      <c r="BA334" s="194"/>
      <c r="BB334" s="194"/>
      <c r="BC334" s="194"/>
      <c r="BD334" s="194">
        <v>16</v>
      </c>
      <c r="BE334" s="194"/>
      <c r="BF334" s="194"/>
      <c r="BG334" s="194"/>
      <c r="BH334" s="194"/>
      <c r="BI334" s="194"/>
      <c r="BJ334" s="194"/>
      <c r="BK334" s="194"/>
      <c r="BL334" s="194"/>
      <c r="BM334" s="194"/>
      <c r="BN334" s="194"/>
      <c r="BO334" s="194">
        <v>16</v>
      </c>
      <c r="BP334" s="194"/>
      <c r="BQ334" s="47"/>
      <c r="BR334" s="194"/>
      <c r="BS334" s="47"/>
      <c r="BT334" s="47"/>
      <c r="BU334" s="47"/>
      <c r="BV334" s="47"/>
      <c r="BW334" s="47"/>
      <c r="BX334" s="194"/>
      <c r="BY334" s="194"/>
      <c r="BZ334" s="194"/>
      <c r="CA334" s="194"/>
      <c r="CB334" s="194"/>
      <c r="CC334" s="47"/>
      <c r="CD334" s="47"/>
      <c r="CE334" s="47"/>
      <c r="CF334" s="47"/>
      <c r="CG334" s="47"/>
      <c r="CH334" s="47"/>
      <c r="CI334" s="47"/>
      <c r="CJ334" s="47"/>
      <c r="CK334" s="47"/>
      <c r="CL334" s="194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194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198"/>
      <c r="DX334" s="47"/>
      <c r="DY334" s="194"/>
      <c r="DZ334" s="47"/>
      <c r="EA334" s="47"/>
      <c r="EB334" s="194"/>
      <c r="EC334" s="47"/>
      <c r="ED334" s="195"/>
      <c r="EE334" s="195"/>
      <c r="EF334" s="195"/>
      <c r="EG334" s="195"/>
      <c r="EH334" s="195">
        <v>1</v>
      </c>
      <c r="EI334" s="196">
        <f t="shared" si="16"/>
        <v>13.5</v>
      </c>
      <c r="EJ334" s="201">
        <f t="shared" si="17"/>
        <v>17.145</v>
      </c>
      <c r="EK334" s="202">
        <v>15</v>
      </c>
      <c r="EL334" s="5"/>
      <c r="FA334" s="251">
        <f t="shared" si="18"/>
        <v>13.5</v>
      </c>
    </row>
    <row r="335" spans="1:157" s="1" customFormat="1" ht="20.149999999999999" customHeight="1" x14ac:dyDescent="0.35">
      <c r="A335" s="2"/>
      <c r="B335" s="47" t="s">
        <v>1068</v>
      </c>
      <c r="C335" s="47" t="s">
        <v>1763</v>
      </c>
      <c r="D335" s="2" t="s">
        <v>56</v>
      </c>
      <c r="E335" s="2"/>
      <c r="F335" s="48" t="s">
        <v>1764</v>
      </c>
      <c r="G335" s="40" t="s">
        <v>1765</v>
      </c>
      <c r="H335" s="420">
        <f>30*1.09</f>
        <v>32.700000000000003</v>
      </c>
      <c r="I335" s="47"/>
      <c r="J335" s="47"/>
      <c r="K335" s="47"/>
      <c r="L335" s="47"/>
      <c r="M335" s="47"/>
      <c r="N335" s="194"/>
      <c r="O335" s="194"/>
      <c r="P335" s="194"/>
      <c r="Q335" s="194"/>
      <c r="R335" s="47"/>
      <c r="S335" s="194"/>
      <c r="T335" s="47"/>
      <c r="U335" s="194"/>
      <c r="V335" s="47"/>
      <c r="W335" s="194"/>
      <c r="X335" s="47"/>
      <c r="Y335" s="194"/>
      <c r="Z335" s="194"/>
      <c r="AA335" s="47"/>
      <c r="AB335" s="47"/>
      <c r="AC335" s="47"/>
      <c r="AD335" s="47"/>
      <c r="AE335" s="194"/>
      <c r="AF335" s="194"/>
      <c r="AG335" s="194"/>
      <c r="AH335" s="5"/>
      <c r="AI335" s="47"/>
      <c r="AJ335" s="198"/>
      <c r="AK335" s="47"/>
      <c r="AL335" s="47"/>
      <c r="AM335" s="47"/>
      <c r="AN335" s="47"/>
      <c r="AO335" s="47"/>
      <c r="AP335" s="194"/>
      <c r="AQ335" s="47"/>
      <c r="AR335" s="47"/>
      <c r="AS335" s="47"/>
      <c r="AT335" s="194"/>
      <c r="AU335" s="194"/>
      <c r="AV335" s="194"/>
      <c r="AW335" s="194"/>
      <c r="AX335" s="194"/>
      <c r="AY335" s="194"/>
      <c r="AZ335" s="194"/>
      <c r="BA335" s="194"/>
      <c r="BB335" s="194"/>
      <c r="BC335" s="194"/>
      <c r="BD335" s="194"/>
      <c r="BE335" s="194"/>
      <c r="BF335" s="194"/>
      <c r="BG335" s="194"/>
      <c r="BH335" s="194"/>
      <c r="BI335" s="194"/>
      <c r="BJ335" s="194"/>
      <c r="BK335" s="194"/>
      <c r="BL335" s="194"/>
      <c r="BM335" s="194"/>
      <c r="BN335" s="194"/>
      <c r="BO335" s="194">
        <v>21</v>
      </c>
      <c r="BP335" s="194"/>
      <c r="BQ335" s="47"/>
      <c r="BR335" s="194"/>
      <c r="BS335" s="47"/>
      <c r="BT335" s="47"/>
      <c r="BU335" s="47"/>
      <c r="BV335" s="47"/>
      <c r="BW335" s="47"/>
      <c r="BX335" s="194"/>
      <c r="BY335" s="194"/>
      <c r="BZ335" s="194"/>
      <c r="CA335" s="194"/>
      <c r="CB335" s="194"/>
      <c r="CC335" s="47"/>
      <c r="CD335" s="47"/>
      <c r="CE335" s="47"/>
      <c r="CF335" s="47"/>
      <c r="CG335" s="47"/>
      <c r="CH335" s="47"/>
      <c r="CI335" s="47"/>
      <c r="CJ335" s="47"/>
      <c r="CK335" s="47"/>
      <c r="CL335" s="194"/>
      <c r="CM335" s="47"/>
      <c r="CN335" s="47"/>
      <c r="CO335" s="47"/>
      <c r="CP335" s="47"/>
      <c r="CQ335" s="47"/>
      <c r="CR335" s="47"/>
      <c r="CS335" s="198"/>
      <c r="CT335" s="47"/>
      <c r="CU335" s="47"/>
      <c r="CV335" s="47"/>
      <c r="CW335" s="47"/>
      <c r="CX335" s="194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198"/>
      <c r="DX335" s="47"/>
      <c r="DY335" s="194"/>
      <c r="DZ335" s="47"/>
      <c r="EA335" s="47"/>
      <c r="EB335" s="194"/>
      <c r="EC335" s="47"/>
      <c r="ED335" s="195"/>
      <c r="EE335" s="195"/>
      <c r="EF335" s="195"/>
      <c r="EG335" s="195"/>
      <c r="EH335" s="195"/>
      <c r="EI335" s="196">
        <f t="shared" si="16"/>
        <v>0</v>
      </c>
      <c r="EJ335" s="201">
        <f t="shared" si="17"/>
        <v>41.529000000000003</v>
      </c>
      <c r="EK335" s="202">
        <v>21</v>
      </c>
      <c r="EL335" s="5"/>
      <c r="FA335" s="251">
        <f t="shared" si="18"/>
        <v>32.700000000000003</v>
      </c>
    </row>
    <row r="336" spans="1:157" s="1" customFormat="1" ht="20.149999999999999" customHeight="1" x14ac:dyDescent="0.35">
      <c r="A336" s="2"/>
      <c r="B336" s="47" t="s">
        <v>1069</v>
      </c>
      <c r="C336" s="47"/>
      <c r="D336" s="2"/>
      <c r="E336" s="2"/>
      <c r="F336" s="48"/>
      <c r="G336" s="40"/>
      <c r="H336" s="223"/>
      <c r="I336" s="47"/>
      <c r="J336" s="47"/>
      <c r="K336" s="47"/>
      <c r="L336" s="47"/>
      <c r="M336" s="47"/>
      <c r="N336" s="194"/>
      <c r="O336" s="194"/>
      <c r="P336" s="194"/>
      <c r="Q336" s="194"/>
      <c r="R336" s="47"/>
      <c r="S336" s="194"/>
      <c r="T336" s="47"/>
      <c r="U336" s="194"/>
      <c r="V336" s="47"/>
      <c r="W336" s="194"/>
      <c r="X336" s="47"/>
      <c r="Y336" s="194"/>
      <c r="Z336" s="194"/>
      <c r="AA336" s="47"/>
      <c r="AB336" s="47"/>
      <c r="AC336" s="47"/>
      <c r="AD336" s="47"/>
      <c r="AE336" s="194"/>
      <c r="AF336" s="194"/>
      <c r="AG336" s="194"/>
      <c r="AH336" s="5"/>
      <c r="AI336" s="47"/>
      <c r="AJ336" s="198"/>
      <c r="AK336" s="47"/>
      <c r="AL336" s="47"/>
      <c r="AM336" s="47"/>
      <c r="AN336" s="47"/>
      <c r="AO336" s="47"/>
      <c r="AP336" s="194"/>
      <c r="AQ336" s="47"/>
      <c r="AR336" s="47"/>
      <c r="AS336" s="47"/>
      <c r="AT336" s="194"/>
      <c r="AU336" s="194"/>
      <c r="AV336" s="194"/>
      <c r="AW336" s="194"/>
      <c r="AX336" s="194"/>
      <c r="AY336" s="194"/>
      <c r="AZ336" s="194"/>
      <c r="BA336" s="194"/>
      <c r="BB336" s="194"/>
      <c r="BC336" s="194"/>
      <c r="BD336" s="194"/>
      <c r="BE336" s="194"/>
      <c r="BF336" s="194"/>
      <c r="BG336" s="194"/>
      <c r="BH336" s="194"/>
      <c r="BI336" s="194"/>
      <c r="BJ336" s="194"/>
      <c r="BK336" s="194"/>
      <c r="BL336" s="194"/>
      <c r="BM336" s="194"/>
      <c r="BN336" s="194"/>
      <c r="BO336" s="194">
        <v>21</v>
      </c>
      <c r="BP336" s="194"/>
      <c r="BQ336" s="47"/>
      <c r="BR336" s="194"/>
      <c r="BS336" s="47"/>
      <c r="BT336" s="47"/>
      <c r="BU336" s="47"/>
      <c r="BV336" s="47"/>
      <c r="BW336" s="47"/>
      <c r="BX336" s="194"/>
      <c r="BY336" s="194"/>
      <c r="BZ336" s="194"/>
      <c r="CA336" s="194"/>
      <c r="CB336" s="194"/>
      <c r="CC336" s="47"/>
      <c r="CD336" s="47"/>
      <c r="CE336" s="47"/>
      <c r="CF336" s="47"/>
      <c r="CG336" s="47"/>
      <c r="CH336" s="47"/>
      <c r="CI336" s="47"/>
      <c r="CJ336" s="47"/>
      <c r="CK336" s="47"/>
      <c r="CL336" s="194"/>
      <c r="CM336" s="47"/>
      <c r="CN336" s="47"/>
      <c r="CO336" s="47"/>
      <c r="CP336" s="47"/>
      <c r="CQ336" s="47"/>
      <c r="CR336" s="47"/>
      <c r="CS336" s="198"/>
      <c r="CT336" s="47"/>
      <c r="CU336" s="47"/>
      <c r="CV336" s="47"/>
      <c r="CW336" s="47"/>
      <c r="CX336" s="194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198"/>
      <c r="DX336" s="47"/>
      <c r="DY336" s="194"/>
      <c r="DZ336" s="47"/>
      <c r="EA336" s="47"/>
      <c r="EB336" s="194"/>
      <c r="EC336" s="47"/>
      <c r="ED336" s="195"/>
      <c r="EE336" s="195"/>
      <c r="EF336" s="195"/>
      <c r="EG336" s="195"/>
      <c r="EH336" s="195"/>
      <c r="EI336" s="196">
        <f t="shared" si="16"/>
        <v>0</v>
      </c>
      <c r="EJ336" s="201">
        <f t="shared" si="17"/>
        <v>0</v>
      </c>
      <c r="EK336" s="202">
        <f t="shared" si="19"/>
        <v>21</v>
      </c>
      <c r="EL336" s="5"/>
      <c r="FA336" s="251">
        <f t="shared" si="18"/>
        <v>0</v>
      </c>
    </row>
    <row r="337" spans="1:157" s="89" customFormat="1" ht="20.149999999999999" customHeight="1" x14ac:dyDescent="0.35">
      <c r="A337" s="47"/>
      <c r="B337" s="47" t="s">
        <v>1070</v>
      </c>
      <c r="C337" s="47"/>
      <c r="D337" s="2"/>
      <c r="E337" s="2"/>
      <c r="F337" s="48"/>
      <c r="G337" s="40"/>
      <c r="H337" s="223"/>
      <c r="I337" s="47"/>
      <c r="J337" s="47"/>
      <c r="K337" s="47"/>
      <c r="L337" s="47"/>
      <c r="M337" s="47"/>
      <c r="N337" s="194"/>
      <c r="O337" s="194"/>
      <c r="P337" s="194"/>
      <c r="Q337" s="194"/>
      <c r="R337" s="47"/>
      <c r="S337" s="194"/>
      <c r="T337" s="47"/>
      <c r="U337" s="194"/>
      <c r="V337" s="47"/>
      <c r="W337" s="194"/>
      <c r="X337" s="47"/>
      <c r="Y337" s="194"/>
      <c r="Z337" s="194"/>
      <c r="AA337" s="47"/>
      <c r="AB337" s="47"/>
      <c r="AC337" s="47"/>
      <c r="AD337" s="47"/>
      <c r="AE337" s="194"/>
      <c r="AF337" s="194"/>
      <c r="AG337" s="194"/>
      <c r="AH337" s="355"/>
      <c r="AI337" s="47"/>
      <c r="AJ337" s="198"/>
      <c r="AK337" s="47"/>
      <c r="AL337" s="47"/>
      <c r="AM337" s="47"/>
      <c r="AN337" s="47"/>
      <c r="AO337" s="47"/>
      <c r="AP337" s="194"/>
      <c r="AQ337" s="47"/>
      <c r="AR337" s="47"/>
      <c r="AS337" s="47"/>
      <c r="AT337" s="194"/>
      <c r="AU337" s="194"/>
      <c r="AV337" s="194"/>
      <c r="AW337" s="194"/>
      <c r="AX337" s="194"/>
      <c r="AY337" s="194"/>
      <c r="AZ337" s="194"/>
      <c r="BA337" s="194"/>
      <c r="BB337" s="194"/>
      <c r="BC337" s="194"/>
      <c r="BD337" s="194"/>
      <c r="BE337" s="194"/>
      <c r="BF337" s="194"/>
      <c r="BG337" s="194"/>
      <c r="BH337" s="194"/>
      <c r="BI337" s="194"/>
      <c r="BJ337" s="194"/>
      <c r="BK337" s="194"/>
      <c r="BL337" s="194"/>
      <c r="BM337" s="194"/>
      <c r="BN337" s="194"/>
      <c r="BO337" s="194">
        <v>23</v>
      </c>
      <c r="BP337" s="194"/>
      <c r="BQ337" s="47"/>
      <c r="BR337" s="194"/>
      <c r="BS337" s="47"/>
      <c r="BT337" s="47"/>
      <c r="BU337" s="47"/>
      <c r="BV337" s="47"/>
      <c r="BW337" s="47"/>
      <c r="BX337" s="194"/>
      <c r="BY337" s="194"/>
      <c r="BZ337" s="194"/>
      <c r="CA337" s="194"/>
      <c r="CB337" s="194"/>
      <c r="CC337" s="47"/>
      <c r="CD337" s="47"/>
      <c r="CE337" s="47"/>
      <c r="CF337" s="47"/>
      <c r="CG337" s="47"/>
      <c r="CH337" s="47"/>
      <c r="CI337" s="47"/>
      <c r="CJ337" s="47"/>
      <c r="CK337" s="47"/>
      <c r="CL337" s="194"/>
      <c r="CM337" s="47"/>
      <c r="CN337" s="47"/>
      <c r="CO337" s="47"/>
      <c r="CP337" s="47"/>
      <c r="CQ337" s="47"/>
      <c r="CR337" s="47"/>
      <c r="CS337" s="198"/>
      <c r="CT337" s="47"/>
      <c r="CU337" s="47"/>
      <c r="CV337" s="47"/>
      <c r="CW337" s="47"/>
      <c r="CX337" s="194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198"/>
      <c r="DX337" s="47"/>
      <c r="DY337" s="194"/>
      <c r="DZ337" s="47"/>
      <c r="EA337" s="47"/>
      <c r="EB337" s="194"/>
      <c r="EC337" s="47"/>
      <c r="ED337" s="195"/>
      <c r="EE337" s="195"/>
      <c r="EF337" s="195"/>
      <c r="EG337" s="195"/>
      <c r="EH337" s="195"/>
      <c r="EI337" s="196">
        <f t="shared" si="16"/>
        <v>0</v>
      </c>
      <c r="EJ337" s="201">
        <f t="shared" si="17"/>
        <v>0</v>
      </c>
      <c r="EK337" s="202">
        <f t="shared" si="19"/>
        <v>23</v>
      </c>
      <c r="EL337" s="355"/>
      <c r="FA337" s="251">
        <f t="shared" si="18"/>
        <v>0</v>
      </c>
    </row>
    <row r="338" spans="1:157" s="89" customFormat="1" ht="20.149999999999999" customHeight="1" x14ac:dyDescent="0.35">
      <c r="A338" s="47"/>
      <c r="B338" s="47" t="s">
        <v>1071</v>
      </c>
      <c r="C338" s="47" t="s">
        <v>1602</v>
      </c>
      <c r="D338" s="137"/>
      <c r="E338" s="48" t="s">
        <v>33</v>
      </c>
      <c r="F338" s="48" t="s">
        <v>740</v>
      </c>
      <c r="G338" s="40"/>
      <c r="H338" s="57">
        <v>5.5</v>
      </c>
      <c r="I338" s="47"/>
      <c r="J338" s="47"/>
      <c r="K338" s="47"/>
      <c r="L338" s="47"/>
      <c r="M338" s="47"/>
      <c r="N338" s="194"/>
      <c r="O338" s="194"/>
      <c r="P338" s="194"/>
      <c r="Q338" s="194"/>
      <c r="R338" s="47"/>
      <c r="S338" s="194"/>
      <c r="T338" s="47"/>
      <c r="U338" s="194"/>
      <c r="V338" s="47"/>
      <c r="W338" s="194"/>
      <c r="X338" s="47"/>
      <c r="Y338" s="194"/>
      <c r="Z338" s="194"/>
      <c r="AA338" s="47"/>
      <c r="AB338" s="47"/>
      <c r="AC338" s="47"/>
      <c r="AD338" s="47"/>
      <c r="AE338" s="194"/>
      <c r="AF338" s="194"/>
      <c r="AG338" s="194"/>
      <c r="AH338" s="355"/>
      <c r="AI338" s="47"/>
      <c r="AJ338" s="198"/>
      <c r="AK338" s="47"/>
      <c r="AL338" s="47"/>
      <c r="AM338" s="47"/>
      <c r="AN338" s="47"/>
      <c r="AO338" s="47"/>
      <c r="AP338" s="194"/>
      <c r="AQ338" s="47"/>
      <c r="AR338" s="47"/>
      <c r="AS338" s="47"/>
      <c r="AT338" s="194"/>
      <c r="AU338" s="194"/>
      <c r="AV338" s="194"/>
      <c r="AW338" s="194"/>
      <c r="AX338" s="194"/>
      <c r="AY338" s="194"/>
      <c r="AZ338" s="194"/>
      <c r="BA338" s="194"/>
      <c r="BB338" s="194"/>
      <c r="BC338" s="194"/>
      <c r="BD338" s="194"/>
      <c r="BE338" s="194"/>
      <c r="BF338" s="194"/>
      <c r="BG338" s="194"/>
      <c r="BH338" s="194"/>
      <c r="BI338" s="194"/>
      <c r="BJ338" s="194"/>
      <c r="BK338" s="194"/>
      <c r="BL338" s="194"/>
      <c r="BM338" s="194"/>
      <c r="BN338" s="194"/>
      <c r="BO338" s="194"/>
      <c r="BP338" s="194"/>
      <c r="BQ338" s="47"/>
      <c r="BR338" s="194"/>
      <c r="BS338" s="47"/>
      <c r="BT338" s="47"/>
      <c r="BU338" s="47"/>
      <c r="BV338" s="47"/>
      <c r="BW338" s="47"/>
      <c r="BX338" s="194"/>
      <c r="BY338" s="194"/>
      <c r="BZ338" s="194"/>
      <c r="CA338" s="194"/>
      <c r="CB338" s="194"/>
      <c r="CC338" s="47"/>
      <c r="CD338" s="47"/>
      <c r="CE338" s="47"/>
      <c r="CF338" s="47"/>
      <c r="CG338" s="47"/>
      <c r="CH338" s="47"/>
      <c r="CI338" s="47"/>
      <c r="CJ338" s="47"/>
      <c r="CK338" s="47"/>
      <c r="CL338" s="194"/>
      <c r="CM338" s="47"/>
      <c r="CN338" s="47"/>
      <c r="CO338" s="47"/>
      <c r="CP338" s="47">
        <v>7</v>
      </c>
      <c r="CQ338" s="47"/>
      <c r="CR338" s="47"/>
      <c r="CS338" s="198"/>
      <c r="CT338" s="47"/>
      <c r="CU338" s="47"/>
      <c r="CV338" s="47"/>
      <c r="CW338" s="47"/>
      <c r="CX338" s="194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198"/>
      <c r="DX338" s="47"/>
      <c r="DY338" s="194"/>
      <c r="DZ338" s="47">
        <v>6.5</v>
      </c>
      <c r="EA338" s="47"/>
      <c r="EB338" s="194"/>
      <c r="EC338" s="47"/>
      <c r="ED338" s="195"/>
      <c r="EE338" s="195">
        <v>6.5</v>
      </c>
      <c r="EF338" s="195"/>
      <c r="EG338" s="195"/>
      <c r="EH338" s="195">
        <v>7</v>
      </c>
      <c r="EI338" s="196">
        <f t="shared" si="16"/>
        <v>38.5</v>
      </c>
      <c r="EJ338" s="201">
        <f t="shared" si="17"/>
        <v>6.9850000000000003</v>
      </c>
      <c r="EK338" s="202">
        <f t="shared" si="19"/>
        <v>6.75</v>
      </c>
      <c r="EL338" s="355"/>
      <c r="FA338" s="251">
        <f t="shared" si="18"/>
        <v>5.5</v>
      </c>
    </row>
    <row r="339" spans="1:157" s="89" customFormat="1" ht="20.149999999999999" customHeight="1" x14ac:dyDescent="0.35">
      <c r="A339" s="47"/>
      <c r="B339" s="47" t="s">
        <v>1072</v>
      </c>
      <c r="C339" s="47" t="s">
        <v>1603</v>
      </c>
      <c r="D339" s="2"/>
      <c r="E339" s="2" t="s">
        <v>33</v>
      </c>
      <c r="F339" s="48" t="s">
        <v>551</v>
      </c>
      <c r="G339" s="40"/>
      <c r="H339" s="57"/>
      <c r="I339" s="47"/>
      <c r="J339" s="47"/>
      <c r="K339" s="47"/>
      <c r="L339" s="47"/>
      <c r="M339" s="47"/>
      <c r="N339" s="194"/>
      <c r="O339" s="194"/>
      <c r="P339" s="194"/>
      <c r="Q339" s="194"/>
      <c r="R339" s="47"/>
      <c r="S339" s="194"/>
      <c r="T339" s="47"/>
      <c r="U339" s="194"/>
      <c r="V339" s="47"/>
      <c r="W339" s="194"/>
      <c r="X339" s="47"/>
      <c r="Y339" s="194"/>
      <c r="Z339" s="194"/>
      <c r="AA339" s="47"/>
      <c r="AB339" s="47"/>
      <c r="AC339" s="47"/>
      <c r="AD339" s="47"/>
      <c r="AE339" s="194"/>
      <c r="AF339" s="194"/>
      <c r="AG339" s="194"/>
      <c r="AH339" s="355"/>
      <c r="AI339" s="47"/>
      <c r="AJ339" s="198"/>
      <c r="AK339" s="47"/>
      <c r="AL339" s="47"/>
      <c r="AM339" s="47"/>
      <c r="AN339" s="47"/>
      <c r="AO339" s="47"/>
      <c r="AP339" s="194"/>
      <c r="AQ339" s="47"/>
      <c r="AR339" s="47"/>
      <c r="AS339" s="47"/>
      <c r="AT339" s="194"/>
      <c r="AU339" s="194"/>
      <c r="AV339" s="194"/>
      <c r="AW339" s="194"/>
      <c r="AX339" s="194"/>
      <c r="AY339" s="194"/>
      <c r="AZ339" s="194"/>
      <c r="BA339" s="194"/>
      <c r="BB339" s="194"/>
      <c r="BC339" s="194"/>
      <c r="BD339" s="194"/>
      <c r="BE339" s="194"/>
      <c r="BF339" s="194"/>
      <c r="BG339" s="194"/>
      <c r="BH339" s="194"/>
      <c r="BI339" s="194"/>
      <c r="BJ339" s="194"/>
      <c r="BK339" s="194"/>
      <c r="BL339" s="194"/>
      <c r="BM339" s="194"/>
      <c r="BN339" s="194"/>
      <c r="BO339" s="194">
        <v>21</v>
      </c>
      <c r="BP339" s="194"/>
      <c r="BQ339" s="47"/>
      <c r="BR339" s="194"/>
      <c r="BS339" s="47"/>
      <c r="BT339" s="47"/>
      <c r="BU339" s="47"/>
      <c r="BV339" s="47"/>
      <c r="BW339" s="47"/>
      <c r="BX339" s="194"/>
      <c r="BY339" s="194"/>
      <c r="BZ339" s="194"/>
      <c r="CA339" s="194"/>
      <c r="CB339" s="194"/>
      <c r="CC339" s="47"/>
      <c r="CD339" s="47"/>
      <c r="CE339" s="47"/>
      <c r="CF339" s="47"/>
      <c r="CG339" s="47"/>
      <c r="CH339" s="47"/>
      <c r="CI339" s="47"/>
      <c r="CJ339" s="47"/>
      <c r="CK339" s="47"/>
      <c r="CL339" s="194"/>
      <c r="CM339" s="47"/>
      <c r="CN339" s="47"/>
      <c r="CO339" s="47"/>
      <c r="CP339" s="47"/>
      <c r="CQ339" s="47"/>
      <c r="CR339" s="47"/>
      <c r="CS339" s="198"/>
      <c r="CT339" s="47"/>
      <c r="CU339" s="47"/>
      <c r="CV339" s="47"/>
      <c r="CW339" s="47"/>
      <c r="CX339" s="194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198"/>
      <c r="DX339" s="47"/>
      <c r="DY339" s="194"/>
      <c r="DZ339" s="47"/>
      <c r="EA339" s="47"/>
      <c r="EB339" s="194"/>
      <c r="EC339" s="47"/>
      <c r="ED339" s="195"/>
      <c r="EE339" s="195"/>
      <c r="EF339" s="195"/>
      <c r="EG339" s="195"/>
      <c r="EH339" s="195"/>
      <c r="EI339" s="196">
        <f t="shared" si="16"/>
        <v>0</v>
      </c>
      <c r="EJ339" s="201">
        <f t="shared" si="17"/>
        <v>0</v>
      </c>
      <c r="EK339" s="202">
        <f t="shared" si="19"/>
        <v>21</v>
      </c>
      <c r="EL339" s="355"/>
      <c r="FA339" s="251">
        <f t="shared" si="18"/>
        <v>0</v>
      </c>
    </row>
    <row r="340" spans="1:157" s="89" customFormat="1" ht="20.149999999999999" customHeight="1" x14ac:dyDescent="0.35">
      <c r="A340" s="47"/>
      <c r="B340" s="47" t="s">
        <v>1073</v>
      </c>
      <c r="C340" s="47" t="s">
        <v>1426</v>
      </c>
      <c r="D340" s="2" t="s">
        <v>56</v>
      </c>
      <c r="E340" s="2" t="s">
        <v>33</v>
      </c>
      <c r="F340" s="48" t="s">
        <v>92</v>
      </c>
      <c r="G340" s="40"/>
      <c r="H340" s="57"/>
      <c r="I340" s="47"/>
      <c r="J340" s="47"/>
      <c r="K340" s="47"/>
      <c r="L340" s="47"/>
      <c r="M340" s="47"/>
      <c r="N340" s="194"/>
      <c r="O340" s="194"/>
      <c r="P340" s="194"/>
      <c r="Q340" s="194"/>
      <c r="R340" s="194">
        <v>22</v>
      </c>
      <c r="S340" s="194"/>
      <c r="T340" s="47"/>
      <c r="U340" s="194"/>
      <c r="V340" s="47"/>
      <c r="W340" s="194"/>
      <c r="X340" s="47"/>
      <c r="Y340" s="194"/>
      <c r="Z340" s="194"/>
      <c r="AA340" s="47"/>
      <c r="AB340" s="47"/>
      <c r="AC340" s="47"/>
      <c r="AD340" s="47"/>
      <c r="AE340" s="194"/>
      <c r="AF340" s="194"/>
      <c r="AG340" s="194"/>
      <c r="AH340" s="355"/>
      <c r="AI340" s="47"/>
      <c r="AJ340" s="198"/>
      <c r="AK340" s="47"/>
      <c r="AL340" s="47"/>
      <c r="AM340" s="47"/>
      <c r="AN340" s="47"/>
      <c r="AO340" s="47"/>
      <c r="AP340" s="194"/>
      <c r="AQ340" s="47"/>
      <c r="AR340" s="47"/>
      <c r="AS340" s="47"/>
      <c r="AT340" s="194"/>
      <c r="AU340" s="194"/>
      <c r="AV340" s="194"/>
      <c r="AW340" s="194"/>
      <c r="AX340" s="194"/>
      <c r="AY340" s="194"/>
      <c r="AZ340" s="194"/>
      <c r="BA340" s="194"/>
      <c r="BB340" s="194"/>
      <c r="BC340" s="194"/>
      <c r="BD340" s="194"/>
      <c r="BE340" s="194"/>
      <c r="BF340" s="194"/>
      <c r="BG340" s="194"/>
      <c r="BH340" s="194"/>
      <c r="BI340" s="194"/>
      <c r="BJ340" s="194"/>
      <c r="BK340" s="194"/>
      <c r="BL340" s="194"/>
      <c r="BM340" s="194"/>
      <c r="BN340" s="194"/>
      <c r="BO340" s="194"/>
      <c r="BP340" s="194"/>
      <c r="BQ340" s="47"/>
      <c r="BR340" s="194"/>
      <c r="BS340" s="47"/>
      <c r="BT340" s="47"/>
      <c r="BU340" s="47"/>
      <c r="BV340" s="47"/>
      <c r="BW340" s="47"/>
      <c r="BX340" s="194"/>
      <c r="BY340" s="194"/>
      <c r="BZ340" s="194"/>
      <c r="CA340" s="194"/>
      <c r="CB340" s="194"/>
      <c r="CC340" s="47"/>
      <c r="CD340" s="47"/>
      <c r="CE340" s="47"/>
      <c r="CF340" s="47"/>
      <c r="CG340" s="47"/>
      <c r="CH340" s="47"/>
      <c r="CI340" s="47"/>
      <c r="CJ340" s="47"/>
      <c r="CK340" s="47"/>
      <c r="CL340" s="194"/>
      <c r="CM340" s="47"/>
      <c r="CN340" s="47"/>
      <c r="CO340" s="47"/>
      <c r="CP340" s="47"/>
      <c r="CQ340" s="47"/>
      <c r="CR340" s="47"/>
      <c r="CS340" s="198"/>
      <c r="CT340" s="47"/>
      <c r="CU340" s="47"/>
      <c r="CV340" s="47"/>
      <c r="CW340" s="47"/>
      <c r="CX340" s="194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198"/>
      <c r="DX340" s="47"/>
      <c r="DY340" s="194"/>
      <c r="DZ340" s="47"/>
      <c r="EA340" s="47"/>
      <c r="EB340" s="194"/>
      <c r="EC340" s="47"/>
      <c r="ED340" s="195"/>
      <c r="EE340" s="195"/>
      <c r="EF340" s="195"/>
      <c r="EG340" s="195"/>
      <c r="EH340" s="195"/>
      <c r="EI340" s="196">
        <f t="shared" si="16"/>
        <v>0</v>
      </c>
      <c r="EJ340" s="201">
        <f t="shared" si="17"/>
        <v>0</v>
      </c>
      <c r="EK340" s="202">
        <v>22</v>
      </c>
      <c r="EL340" s="355"/>
      <c r="FA340" s="251">
        <f t="shared" si="18"/>
        <v>0</v>
      </c>
    </row>
    <row r="341" spans="1:157" s="1" customFormat="1" ht="20.149999999999999" customHeight="1" x14ac:dyDescent="0.35">
      <c r="A341" s="47"/>
      <c r="B341" s="47" t="s">
        <v>1074</v>
      </c>
      <c r="C341" s="47" t="s">
        <v>1604</v>
      </c>
      <c r="D341" s="2" t="s">
        <v>636</v>
      </c>
      <c r="E341" s="2" t="s">
        <v>33</v>
      </c>
      <c r="F341" s="2" t="s">
        <v>551</v>
      </c>
      <c r="G341" s="40"/>
      <c r="H341" s="57">
        <v>17.3</v>
      </c>
      <c r="I341" s="47"/>
      <c r="J341" s="47"/>
      <c r="K341" s="47"/>
      <c r="L341" s="47"/>
      <c r="M341" s="47"/>
      <c r="N341" s="194"/>
      <c r="O341" s="194"/>
      <c r="P341" s="194"/>
      <c r="Q341" s="194"/>
      <c r="R341" s="47"/>
      <c r="S341" s="194"/>
      <c r="T341" s="47"/>
      <c r="U341" s="194"/>
      <c r="V341" s="47"/>
      <c r="W341" s="194"/>
      <c r="X341" s="47"/>
      <c r="Y341" s="194"/>
      <c r="Z341" s="194"/>
      <c r="AA341" s="47"/>
      <c r="AB341" s="47"/>
      <c r="AC341" s="47"/>
      <c r="AD341" s="47"/>
      <c r="AE341" s="194"/>
      <c r="AF341" s="194"/>
      <c r="AG341" s="194"/>
      <c r="AH341" s="5"/>
      <c r="AI341" s="47"/>
      <c r="AJ341" s="198"/>
      <c r="AK341" s="47"/>
      <c r="AL341" s="47"/>
      <c r="AM341" s="47"/>
      <c r="AN341" s="47"/>
      <c r="AO341" s="47"/>
      <c r="AP341" s="194"/>
      <c r="AQ341" s="47"/>
      <c r="AR341" s="47"/>
      <c r="AS341" s="47"/>
      <c r="AT341" s="194"/>
      <c r="AU341" s="194"/>
      <c r="AV341" s="194"/>
      <c r="AW341" s="194"/>
      <c r="AX341" s="194"/>
      <c r="AY341" s="194"/>
      <c r="AZ341" s="194"/>
      <c r="BA341" s="194"/>
      <c r="BB341" s="194"/>
      <c r="BC341" s="194"/>
      <c r="BD341" s="194"/>
      <c r="BE341" s="194"/>
      <c r="BF341" s="194"/>
      <c r="BG341" s="194"/>
      <c r="BH341" s="194"/>
      <c r="BI341" s="194"/>
      <c r="BJ341" s="194"/>
      <c r="BK341" s="194"/>
      <c r="BL341" s="194"/>
      <c r="BM341" s="194"/>
      <c r="BN341" s="194"/>
      <c r="BO341" s="194">
        <v>20</v>
      </c>
      <c r="BP341" s="194"/>
      <c r="BQ341" s="47"/>
      <c r="BR341" s="194"/>
      <c r="BS341" s="47"/>
      <c r="BT341" s="47"/>
      <c r="BU341" s="47"/>
      <c r="BV341" s="47"/>
      <c r="BW341" s="47"/>
      <c r="BX341" s="194"/>
      <c r="BY341" s="194"/>
      <c r="BZ341" s="194"/>
      <c r="CA341" s="194"/>
      <c r="CB341" s="194"/>
      <c r="CC341" s="47"/>
      <c r="CD341" s="47"/>
      <c r="CE341" s="47"/>
      <c r="CF341" s="47"/>
      <c r="CG341" s="47"/>
      <c r="CH341" s="47"/>
      <c r="CI341" s="47"/>
      <c r="CJ341" s="47"/>
      <c r="CK341" s="47"/>
      <c r="CL341" s="194"/>
      <c r="CM341" s="47"/>
      <c r="CN341" s="47"/>
      <c r="CO341" s="47"/>
      <c r="CP341" s="47"/>
      <c r="CQ341" s="47"/>
      <c r="CR341" s="47"/>
      <c r="CS341" s="198"/>
      <c r="CT341" s="47"/>
      <c r="CU341" s="47"/>
      <c r="CV341" s="47"/>
      <c r="CW341" s="47"/>
      <c r="CX341" s="194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198"/>
      <c r="DX341" s="47"/>
      <c r="DY341" s="194"/>
      <c r="DZ341" s="47"/>
      <c r="EA341" s="47"/>
      <c r="EB341" s="194"/>
      <c r="EC341" s="47"/>
      <c r="ED341" s="47"/>
      <c r="EE341" s="47"/>
      <c r="EF341" s="47"/>
      <c r="EG341" s="47"/>
      <c r="EH341" s="47"/>
      <c r="EI341" s="196">
        <f t="shared" si="16"/>
        <v>0</v>
      </c>
      <c r="EJ341" s="201">
        <f t="shared" si="17"/>
        <v>21.971</v>
      </c>
      <c r="EK341" s="202">
        <f t="shared" si="19"/>
        <v>20</v>
      </c>
      <c r="EL341" s="5"/>
      <c r="FA341" s="251">
        <f t="shared" si="18"/>
        <v>17.3</v>
      </c>
    </row>
    <row r="342" spans="1:157" s="1" customFormat="1" ht="20.149999999999999" customHeight="1" x14ac:dyDescent="0.35">
      <c r="A342" s="47"/>
      <c r="B342" s="47" t="s">
        <v>1142</v>
      </c>
      <c r="C342" s="47" t="s">
        <v>1143</v>
      </c>
      <c r="D342" s="2" t="s">
        <v>636</v>
      </c>
      <c r="E342" s="2" t="s">
        <v>33</v>
      </c>
      <c r="F342" s="2" t="s">
        <v>301</v>
      </c>
      <c r="G342" s="40"/>
      <c r="H342" s="328">
        <v>11.5</v>
      </c>
      <c r="I342" s="47"/>
      <c r="J342" s="47"/>
      <c r="K342" s="47"/>
      <c r="L342" s="47"/>
      <c r="M342" s="47"/>
      <c r="N342" s="194"/>
      <c r="O342" s="194"/>
      <c r="P342" s="194"/>
      <c r="Q342" s="194"/>
      <c r="R342" s="47"/>
      <c r="S342" s="194"/>
      <c r="T342" s="47"/>
      <c r="U342" s="194"/>
      <c r="V342" s="47"/>
      <c r="W342" s="194"/>
      <c r="X342" s="47"/>
      <c r="Y342" s="194"/>
      <c r="Z342" s="194"/>
      <c r="AA342" s="47"/>
      <c r="AB342" s="47"/>
      <c r="AC342" s="47"/>
      <c r="AD342" s="47"/>
      <c r="AE342" s="194"/>
      <c r="AF342" s="194"/>
      <c r="AG342" s="194"/>
      <c r="AH342" s="5"/>
      <c r="AI342" s="47"/>
      <c r="AJ342" s="198"/>
      <c r="AK342" s="47"/>
      <c r="AL342" s="47"/>
      <c r="AM342" s="47"/>
      <c r="AN342" s="47"/>
      <c r="AO342" s="47"/>
      <c r="AP342" s="194"/>
      <c r="AQ342" s="47"/>
      <c r="AR342" s="47"/>
      <c r="AS342" s="47"/>
      <c r="AT342" s="194"/>
      <c r="AU342" s="194"/>
      <c r="AV342" s="194"/>
      <c r="AW342" s="194"/>
      <c r="AX342" s="194"/>
      <c r="AY342" s="194"/>
      <c r="AZ342" s="194"/>
      <c r="BA342" s="194"/>
      <c r="BB342" s="194"/>
      <c r="BC342" s="194"/>
      <c r="BD342" s="194"/>
      <c r="BE342" s="194"/>
      <c r="BF342" s="194"/>
      <c r="BG342" s="194"/>
      <c r="BH342" s="194"/>
      <c r="BI342" s="194"/>
      <c r="BJ342" s="194"/>
      <c r="BK342" s="194"/>
      <c r="BL342" s="194"/>
      <c r="BM342" s="194"/>
      <c r="BN342" s="194"/>
      <c r="BO342" s="194"/>
      <c r="BP342" s="194"/>
      <c r="BQ342" s="47"/>
      <c r="BR342" s="194"/>
      <c r="BS342" s="47"/>
      <c r="BT342" s="47"/>
      <c r="BU342" s="47"/>
      <c r="BV342" s="47"/>
      <c r="BW342" s="47"/>
      <c r="BX342" s="194"/>
      <c r="BY342" s="194"/>
      <c r="BZ342" s="194"/>
      <c r="CA342" s="194"/>
      <c r="CB342" s="194"/>
      <c r="CC342" s="47"/>
      <c r="CD342" s="47"/>
      <c r="CE342" s="47"/>
      <c r="CF342" s="47"/>
      <c r="CG342" s="47"/>
      <c r="CH342" s="47"/>
      <c r="CI342" s="47"/>
      <c r="CJ342" s="47"/>
      <c r="CK342" s="47"/>
      <c r="CL342" s="194"/>
      <c r="CM342" s="47"/>
      <c r="CN342" s="47"/>
      <c r="CO342" s="47"/>
      <c r="CP342" s="47"/>
      <c r="CQ342" s="47"/>
      <c r="CR342" s="47"/>
      <c r="CS342" s="198"/>
      <c r="CT342" s="47"/>
      <c r="CU342" s="47"/>
      <c r="CV342" s="47">
        <v>20</v>
      </c>
      <c r="CW342" s="47"/>
      <c r="CX342" s="194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198"/>
      <c r="DX342" s="47"/>
      <c r="DY342" s="194"/>
      <c r="DZ342" s="47"/>
      <c r="EA342" s="47"/>
      <c r="EB342" s="194"/>
      <c r="EC342" s="47"/>
      <c r="ED342" s="195"/>
      <c r="EE342" s="195"/>
      <c r="EF342" s="195"/>
      <c r="EG342" s="195"/>
      <c r="EH342" s="195"/>
      <c r="EI342" s="196">
        <f t="shared" si="16"/>
        <v>0</v>
      </c>
      <c r="EJ342" s="201">
        <f t="shared" si="17"/>
        <v>14.605</v>
      </c>
      <c r="EK342" s="202">
        <v>18</v>
      </c>
      <c r="EL342" s="5"/>
      <c r="FA342" s="251">
        <f t="shared" si="18"/>
        <v>11.5</v>
      </c>
    </row>
    <row r="343" spans="1:157" s="1" customFormat="1" ht="20.149999999999999" customHeight="1" x14ac:dyDescent="0.35">
      <c r="A343" s="47"/>
      <c r="B343" s="47" t="s">
        <v>1208</v>
      </c>
      <c r="C343" s="47" t="s">
        <v>1605</v>
      </c>
      <c r="D343" s="252" t="s">
        <v>33</v>
      </c>
      <c r="E343" s="2" t="s">
        <v>711</v>
      </c>
      <c r="F343" s="2" t="s">
        <v>1606</v>
      </c>
      <c r="G343" s="2" t="s">
        <v>34</v>
      </c>
      <c r="H343" s="321">
        <v>32</v>
      </c>
      <c r="I343" s="47"/>
      <c r="J343" s="47"/>
      <c r="K343" s="47"/>
      <c r="L343" s="47"/>
      <c r="M343" s="47"/>
      <c r="N343" s="194"/>
      <c r="O343" s="194"/>
      <c r="P343" s="194"/>
      <c r="Q343" s="194"/>
      <c r="R343" s="47"/>
      <c r="S343" s="194"/>
      <c r="T343" s="47"/>
      <c r="U343" s="194"/>
      <c r="V343" s="47"/>
      <c r="W343" s="194"/>
      <c r="X343" s="47"/>
      <c r="Y343" s="194"/>
      <c r="Z343" s="194"/>
      <c r="AA343" s="47"/>
      <c r="AB343" s="47"/>
      <c r="AC343" s="47"/>
      <c r="AD343" s="47"/>
      <c r="AE343" s="194"/>
      <c r="AF343" s="194"/>
      <c r="AG343" s="194"/>
      <c r="AH343" s="5"/>
      <c r="AI343" s="47"/>
      <c r="AJ343" s="198"/>
      <c r="AK343" s="47"/>
      <c r="AL343" s="47"/>
      <c r="AM343" s="47"/>
      <c r="AN343" s="47"/>
      <c r="AO343" s="47"/>
      <c r="AP343" s="194"/>
      <c r="AQ343" s="47"/>
      <c r="AR343" s="47"/>
      <c r="AS343" s="47">
        <v>40</v>
      </c>
      <c r="AT343" s="194"/>
      <c r="AU343" s="194"/>
      <c r="AV343" s="194"/>
      <c r="AW343" s="194"/>
      <c r="AX343" s="194"/>
      <c r="AY343" s="194"/>
      <c r="AZ343" s="194"/>
      <c r="BA343" s="194"/>
      <c r="BB343" s="194"/>
      <c r="BC343" s="194"/>
      <c r="BD343" s="194"/>
      <c r="BE343" s="194"/>
      <c r="BF343" s="194"/>
      <c r="BG343" s="194"/>
      <c r="BH343" s="194"/>
      <c r="BI343" s="194"/>
      <c r="BJ343" s="194"/>
      <c r="BK343" s="194"/>
      <c r="BL343" s="194"/>
      <c r="BM343" s="194"/>
      <c r="BN343" s="194"/>
      <c r="BO343" s="194"/>
      <c r="BP343" s="194"/>
      <c r="BQ343" s="47"/>
      <c r="BR343" s="194"/>
      <c r="BS343" s="47"/>
      <c r="BT343" s="47"/>
      <c r="BU343" s="47"/>
      <c r="BV343" s="47"/>
      <c r="BW343" s="47"/>
      <c r="BX343" s="194">
        <v>40</v>
      </c>
      <c r="BY343" s="194"/>
      <c r="BZ343" s="194"/>
      <c r="CA343" s="194"/>
      <c r="CB343" s="194"/>
      <c r="CC343" s="47"/>
      <c r="CD343" s="47"/>
      <c r="CE343" s="47"/>
      <c r="CF343" s="47"/>
      <c r="CG343" s="47"/>
      <c r="CH343" s="47"/>
      <c r="CI343" s="47"/>
      <c r="CJ343" s="47"/>
      <c r="CK343" s="47"/>
      <c r="CL343" s="194"/>
      <c r="CM343" s="47"/>
      <c r="CN343" s="47"/>
      <c r="CO343" s="47"/>
      <c r="CP343" s="47"/>
      <c r="CQ343" s="47"/>
      <c r="CR343" s="47"/>
      <c r="CS343" s="198"/>
      <c r="CT343" s="47"/>
      <c r="CU343" s="47"/>
      <c r="CV343" s="47"/>
      <c r="CW343" s="47"/>
      <c r="CX343" s="194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198"/>
      <c r="DX343" s="47"/>
      <c r="DY343" s="194"/>
      <c r="DZ343" s="47"/>
      <c r="EA343" s="47"/>
      <c r="EB343" s="194"/>
      <c r="EC343" s="47"/>
      <c r="ED343" s="195"/>
      <c r="EE343" s="195">
        <v>20</v>
      </c>
      <c r="EF343" s="195"/>
      <c r="EG343" s="195"/>
      <c r="EH343" s="195"/>
      <c r="EI343" s="196"/>
      <c r="EJ343" s="201"/>
      <c r="EK343" s="202"/>
      <c r="EL343" s="5"/>
      <c r="FA343" s="251">
        <f t="shared" si="18"/>
        <v>32</v>
      </c>
    </row>
    <row r="344" spans="1:157" s="1" customFormat="1" ht="20.149999999999999" customHeight="1" x14ac:dyDescent="0.35">
      <c r="A344" s="47"/>
      <c r="B344" s="47" t="s">
        <v>1219</v>
      </c>
      <c r="C344" s="47" t="s">
        <v>1506</v>
      </c>
      <c r="D344" s="2" t="s">
        <v>770</v>
      </c>
      <c r="E344" s="2" t="s">
        <v>1607</v>
      </c>
      <c r="F344" s="48" t="s">
        <v>69</v>
      </c>
      <c r="G344" s="48" t="s">
        <v>40</v>
      </c>
      <c r="H344" s="332">
        <f>48/6</f>
        <v>8</v>
      </c>
      <c r="I344" s="47"/>
      <c r="J344" s="47"/>
      <c r="K344" s="47"/>
      <c r="L344" s="47"/>
      <c r="M344" s="47"/>
      <c r="N344" s="194"/>
      <c r="O344" s="194"/>
      <c r="P344" s="194"/>
      <c r="Q344" s="194"/>
      <c r="R344" s="47"/>
      <c r="S344" s="194"/>
      <c r="T344" s="47"/>
      <c r="U344" s="194"/>
      <c r="V344" s="47"/>
      <c r="W344" s="194"/>
      <c r="X344" s="47"/>
      <c r="Y344" s="194"/>
      <c r="Z344" s="194"/>
      <c r="AA344" s="47"/>
      <c r="AB344" s="47"/>
      <c r="AC344" s="47"/>
      <c r="AD344" s="47"/>
      <c r="AE344" s="194"/>
      <c r="AF344" s="194"/>
      <c r="AG344" s="194"/>
      <c r="AH344" s="5"/>
      <c r="AI344" s="47"/>
      <c r="AJ344" s="198"/>
      <c r="AK344" s="47"/>
      <c r="AL344" s="47"/>
      <c r="AM344" s="47"/>
      <c r="AN344" s="47"/>
      <c r="AO344" s="47"/>
      <c r="AP344" s="194"/>
      <c r="AQ344" s="47"/>
      <c r="AR344" s="47"/>
      <c r="AS344" s="47"/>
      <c r="AT344" s="194"/>
      <c r="AU344" s="194"/>
      <c r="AV344" s="194"/>
      <c r="AW344" s="194"/>
      <c r="AX344" s="194"/>
      <c r="AY344" s="194"/>
      <c r="AZ344" s="194"/>
      <c r="BA344" s="194"/>
      <c r="BB344" s="194"/>
      <c r="BC344" s="194"/>
      <c r="BD344" s="194"/>
      <c r="BE344" s="194"/>
      <c r="BF344" s="194"/>
      <c r="BG344" s="194"/>
      <c r="BH344" s="194"/>
      <c r="BI344" s="194"/>
      <c r="BJ344" s="194"/>
      <c r="BK344" s="194"/>
      <c r="BL344" s="194"/>
      <c r="BM344" s="194"/>
      <c r="BN344" s="194"/>
      <c r="BO344" s="194"/>
      <c r="BP344" s="194"/>
      <c r="BQ344" s="47"/>
      <c r="BR344" s="194"/>
      <c r="BS344" s="47"/>
      <c r="BT344" s="47"/>
      <c r="BU344" s="47"/>
      <c r="BV344" s="47"/>
      <c r="BW344" s="47"/>
      <c r="BX344" s="194"/>
      <c r="BY344" s="194"/>
      <c r="BZ344" s="194"/>
      <c r="CA344" s="194"/>
      <c r="CB344" s="194"/>
      <c r="CC344" s="47"/>
      <c r="CD344" s="47"/>
      <c r="CE344" s="47"/>
      <c r="CF344" s="47"/>
      <c r="CG344" s="47"/>
      <c r="CH344" s="47"/>
      <c r="CI344" s="47">
        <v>10.5</v>
      </c>
      <c r="CJ344" s="47"/>
      <c r="CK344" s="47"/>
      <c r="CL344" s="194"/>
      <c r="CM344" s="47"/>
      <c r="CN344" s="47"/>
      <c r="CO344" s="47"/>
      <c r="CP344" s="47"/>
      <c r="CQ344" s="47"/>
      <c r="CR344" s="47"/>
      <c r="CS344" s="198"/>
      <c r="CT344" s="47"/>
      <c r="CU344" s="47"/>
      <c r="CV344" s="47"/>
      <c r="CW344" s="47"/>
      <c r="CX344" s="194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198"/>
      <c r="DX344" s="47"/>
      <c r="DY344" s="194"/>
      <c r="DZ344" s="47"/>
      <c r="EA344" s="47"/>
      <c r="EB344" s="194"/>
      <c r="EC344" s="47"/>
      <c r="ED344" s="195"/>
      <c r="EE344" s="195"/>
      <c r="EF344" s="195"/>
      <c r="EG344" s="195"/>
      <c r="EH344" s="195"/>
      <c r="EI344" s="196"/>
      <c r="EJ344" s="201"/>
      <c r="EK344" s="202"/>
      <c r="EL344" s="5"/>
      <c r="FA344" s="251">
        <f t="shared" si="18"/>
        <v>8</v>
      </c>
    </row>
    <row r="345" spans="1:157" s="1" customFormat="1" ht="20.149999999999999" customHeight="1" x14ac:dyDescent="0.35">
      <c r="A345" s="47"/>
      <c r="B345" s="47" t="s">
        <v>1392</v>
      </c>
      <c r="C345" s="47" t="s">
        <v>1394</v>
      </c>
      <c r="D345" s="252" t="s">
        <v>637</v>
      </c>
      <c r="E345" s="2" t="s">
        <v>1607</v>
      </c>
      <c r="F345" s="2" t="s">
        <v>1608</v>
      </c>
      <c r="G345" s="2" t="s">
        <v>30</v>
      </c>
      <c r="H345" s="332">
        <v>70</v>
      </c>
      <c r="I345" s="47"/>
      <c r="J345" s="47"/>
      <c r="K345" s="47"/>
      <c r="L345" s="47"/>
      <c r="M345" s="47"/>
      <c r="N345" s="194"/>
      <c r="O345" s="194"/>
      <c r="P345" s="194"/>
      <c r="Q345" s="194"/>
      <c r="R345" s="47"/>
      <c r="S345" s="194"/>
      <c r="T345" s="47"/>
      <c r="U345" s="194"/>
      <c r="V345" s="47"/>
      <c r="W345" s="194"/>
      <c r="X345" s="47"/>
      <c r="Y345" s="194"/>
      <c r="Z345" s="194"/>
      <c r="AA345" s="47"/>
      <c r="AB345" s="47"/>
      <c r="AC345" s="47"/>
      <c r="AD345" s="47"/>
      <c r="AE345" s="194"/>
      <c r="AF345" s="194"/>
      <c r="AG345" s="194"/>
      <c r="AH345" s="5"/>
      <c r="AI345" s="47"/>
      <c r="AJ345" s="198"/>
      <c r="AK345" s="47"/>
      <c r="AL345" s="47"/>
      <c r="AM345" s="47"/>
      <c r="AN345" s="47"/>
      <c r="AO345" s="47"/>
      <c r="AP345" s="194"/>
      <c r="AQ345" s="47"/>
      <c r="AR345" s="47"/>
      <c r="AS345" s="47"/>
      <c r="AT345" s="194"/>
      <c r="AU345" s="194"/>
      <c r="AV345" s="194"/>
      <c r="AW345" s="194"/>
      <c r="AX345" s="194"/>
      <c r="AY345" s="194"/>
      <c r="AZ345" s="194"/>
      <c r="BA345" s="194"/>
      <c r="BB345" s="194"/>
      <c r="BC345" s="194"/>
      <c r="BD345" s="194"/>
      <c r="BE345" s="194"/>
      <c r="BF345" s="194"/>
      <c r="BG345" s="194"/>
      <c r="BH345" s="194"/>
      <c r="BI345" s="194"/>
      <c r="BJ345" s="194"/>
      <c r="BK345" s="194"/>
      <c r="BL345" s="194"/>
      <c r="BM345" s="194"/>
      <c r="BN345" s="194"/>
      <c r="BO345" s="194"/>
      <c r="BP345" s="194"/>
      <c r="BQ345" s="47"/>
      <c r="BR345" s="194"/>
      <c r="BS345" s="47"/>
      <c r="BT345" s="47"/>
      <c r="BU345" s="47"/>
      <c r="BV345" s="47"/>
      <c r="BW345" s="47"/>
      <c r="BX345" s="194"/>
      <c r="BY345" s="194"/>
      <c r="BZ345" s="194"/>
      <c r="CA345" s="194"/>
      <c r="CB345" s="194"/>
      <c r="CC345" s="47"/>
      <c r="CD345" s="47"/>
      <c r="CE345" s="47"/>
      <c r="CF345" s="47"/>
      <c r="CG345" s="47"/>
      <c r="CH345" s="47"/>
      <c r="CI345" s="47"/>
      <c r="CJ345" s="47"/>
      <c r="CK345" s="47"/>
      <c r="CL345" s="194"/>
      <c r="CM345" s="47"/>
      <c r="CN345" s="47"/>
      <c r="CO345" s="47">
        <v>80</v>
      </c>
      <c r="CP345" s="47">
        <v>80</v>
      </c>
      <c r="CQ345" s="47"/>
      <c r="CR345" s="47"/>
      <c r="CS345" s="198"/>
      <c r="CT345" s="47"/>
      <c r="CU345" s="47"/>
      <c r="CV345" s="47">
        <v>93</v>
      </c>
      <c r="CW345" s="47"/>
      <c r="CX345" s="194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198"/>
      <c r="DX345" s="47"/>
      <c r="DY345" s="194"/>
      <c r="DZ345" s="47"/>
      <c r="EA345" s="47"/>
      <c r="EB345" s="194"/>
      <c r="EC345" s="47"/>
      <c r="ED345" s="195"/>
      <c r="EE345" s="195"/>
      <c r="EF345" s="195"/>
      <c r="EG345" s="195"/>
      <c r="EH345" s="195"/>
      <c r="EI345" s="196"/>
      <c r="EJ345" s="201"/>
      <c r="EK345" s="202"/>
      <c r="EL345" s="5"/>
      <c r="FA345" s="251">
        <f t="shared" si="18"/>
        <v>70</v>
      </c>
    </row>
    <row r="346" spans="1:157" s="1" customFormat="1" ht="20.149999999999999" customHeight="1" x14ac:dyDescent="0.35">
      <c r="A346" s="47"/>
      <c r="B346" s="47" t="s">
        <v>1234</v>
      </c>
      <c r="C346" s="47" t="s">
        <v>1394</v>
      </c>
      <c r="D346" s="252" t="s">
        <v>637</v>
      </c>
      <c r="E346" s="2" t="s">
        <v>1607</v>
      </c>
      <c r="F346" s="2" t="s">
        <v>1609</v>
      </c>
      <c r="G346" s="2" t="s">
        <v>40</v>
      </c>
      <c r="H346" s="332">
        <f>H345/6</f>
        <v>11.666666666666666</v>
      </c>
      <c r="I346" s="47"/>
      <c r="J346" s="47"/>
      <c r="K346" s="47"/>
      <c r="L346" s="47"/>
      <c r="M346" s="47"/>
      <c r="N346" s="194"/>
      <c r="O346" s="194"/>
      <c r="P346" s="194"/>
      <c r="Q346" s="194"/>
      <c r="R346" s="47"/>
      <c r="S346" s="194"/>
      <c r="T346" s="47"/>
      <c r="U346" s="194"/>
      <c r="V346" s="47"/>
      <c r="W346" s="194"/>
      <c r="X346" s="47"/>
      <c r="Y346" s="194"/>
      <c r="Z346" s="194"/>
      <c r="AA346" s="47"/>
      <c r="AB346" s="47"/>
      <c r="AC346" s="47"/>
      <c r="AD346" s="47"/>
      <c r="AE346" s="194"/>
      <c r="AF346" s="194"/>
      <c r="AG346" s="194"/>
      <c r="AH346" s="5"/>
      <c r="AI346" s="47"/>
      <c r="AJ346" s="198"/>
      <c r="AK346" s="47"/>
      <c r="AL346" s="47"/>
      <c r="AM346" s="47"/>
      <c r="AN346" s="47"/>
      <c r="AO346" s="47"/>
      <c r="AP346" s="194"/>
      <c r="AQ346" s="47"/>
      <c r="AR346" s="47">
        <v>15</v>
      </c>
      <c r="AS346" s="47"/>
      <c r="AT346" s="194"/>
      <c r="AU346" s="194"/>
      <c r="AV346" s="194"/>
      <c r="AW346" s="194"/>
      <c r="AX346" s="194"/>
      <c r="AY346" s="194"/>
      <c r="AZ346" s="194"/>
      <c r="BA346" s="194"/>
      <c r="BB346" s="194"/>
      <c r="BC346" s="194"/>
      <c r="BD346" s="194"/>
      <c r="BE346" s="194"/>
      <c r="BF346" s="194"/>
      <c r="BG346" s="194"/>
      <c r="BH346" s="194"/>
      <c r="BI346" s="194"/>
      <c r="BJ346" s="194"/>
      <c r="BK346" s="194"/>
      <c r="BL346" s="194"/>
      <c r="BM346" s="194"/>
      <c r="BN346" s="194"/>
      <c r="BO346" s="194"/>
      <c r="BP346" s="194"/>
      <c r="BQ346" s="47"/>
      <c r="BR346" s="194"/>
      <c r="BS346" s="47"/>
      <c r="BT346" s="47"/>
      <c r="BU346" s="47"/>
      <c r="BV346" s="47"/>
      <c r="BW346" s="47"/>
      <c r="BX346" s="194"/>
      <c r="BY346" s="194"/>
      <c r="BZ346" s="194"/>
      <c r="CA346" s="194"/>
      <c r="CB346" s="194"/>
      <c r="CC346" s="47"/>
      <c r="CD346" s="47"/>
      <c r="CE346" s="47"/>
      <c r="CF346" s="47"/>
      <c r="CG346" s="47"/>
      <c r="CH346" s="47"/>
      <c r="CI346" s="47"/>
      <c r="CJ346" s="47"/>
      <c r="CK346" s="47"/>
      <c r="CL346" s="194"/>
      <c r="CM346" s="47"/>
      <c r="CN346" s="47"/>
      <c r="CO346" s="47">
        <v>15</v>
      </c>
      <c r="CP346" s="47">
        <v>15</v>
      </c>
      <c r="CQ346" s="47"/>
      <c r="CR346" s="47"/>
      <c r="CS346" s="198"/>
      <c r="CT346" s="47"/>
      <c r="CU346" s="47"/>
      <c r="CV346" s="47"/>
      <c r="CW346" s="47"/>
      <c r="CX346" s="194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198"/>
      <c r="DX346" s="47"/>
      <c r="DY346" s="194"/>
      <c r="DZ346" s="47"/>
      <c r="EA346" s="47"/>
      <c r="EB346" s="194"/>
      <c r="EC346" s="47"/>
      <c r="ED346" s="195"/>
      <c r="EE346" s="195"/>
      <c r="EF346" s="195"/>
      <c r="EG346" s="195"/>
      <c r="EH346" s="195"/>
      <c r="EI346" s="196"/>
      <c r="EJ346" s="201"/>
      <c r="EK346" s="202"/>
      <c r="EL346" s="5"/>
      <c r="FA346" s="251">
        <f t="shared" si="18"/>
        <v>11.666666666666666</v>
      </c>
    </row>
    <row r="347" spans="1:157" s="1" customFormat="1" ht="20.149999999999999" customHeight="1" x14ac:dyDescent="0.35">
      <c r="A347" s="47"/>
      <c r="B347" s="380" t="s">
        <v>1233</v>
      </c>
      <c r="C347" s="380" t="s">
        <v>1395</v>
      </c>
      <c r="D347" s="381" t="s">
        <v>1610</v>
      </c>
      <c r="E347" s="382" t="s">
        <v>711</v>
      </c>
      <c r="F347" s="382" t="s">
        <v>1611</v>
      </c>
      <c r="G347" s="2" t="s">
        <v>32</v>
      </c>
      <c r="H347" s="328">
        <v>18</v>
      </c>
      <c r="I347" s="47"/>
      <c r="J347" s="47"/>
      <c r="K347" s="47"/>
      <c r="L347" s="47"/>
      <c r="M347" s="47"/>
      <c r="N347" s="194"/>
      <c r="O347" s="194"/>
      <c r="P347" s="194"/>
      <c r="Q347" s="194"/>
      <c r="R347" s="47"/>
      <c r="S347" s="194"/>
      <c r="T347" s="47"/>
      <c r="U347" s="194"/>
      <c r="V347" s="47"/>
      <c r="W347" s="194"/>
      <c r="X347" s="47">
        <v>25</v>
      </c>
      <c r="Y347" s="194"/>
      <c r="Z347" s="194"/>
      <c r="AA347" s="47"/>
      <c r="AB347" s="47">
        <v>26</v>
      </c>
      <c r="AC347" s="47"/>
      <c r="AD347" s="47">
        <v>26</v>
      </c>
      <c r="AE347" s="194"/>
      <c r="AF347" s="194"/>
      <c r="AG347" s="194"/>
      <c r="AH347" s="5"/>
      <c r="AI347" s="47"/>
      <c r="AJ347" s="198"/>
      <c r="AK347" s="47"/>
      <c r="AL347" s="47"/>
      <c r="AM347" s="47"/>
      <c r="AN347" s="47"/>
      <c r="AO347" s="47"/>
      <c r="AP347" s="194">
        <v>26</v>
      </c>
      <c r="AQ347" s="47"/>
      <c r="AR347" s="47"/>
      <c r="AS347" s="47"/>
      <c r="AT347" s="194"/>
      <c r="AU347" s="194"/>
      <c r="AV347" s="194"/>
      <c r="AW347" s="194"/>
      <c r="AX347" s="194"/>
      <c r="AY347" s="194"/>
      <c r="AZ347" s="194"/>
      <c r="BA347" s="194"/>
      <c r="BB347" s="194"/>
      <c r="BC347" s="194"/>
      <c r="BD347" s="194"/>
      <c r="BE347" s="194"/>
      <c r="BF347" s="194"/>
      <c r="BG347" s="194"/>
      <c r="BH347" s="194"/>
      <c r="BI347" s="194"/>
      <c r="BJ347" s="194"/>
      <c r="BK347" s="194"/>
      <c r="BL347" s="194"/>
      <c r="BM347" s="194">
        <v>26</v>
      </c>
      <c r="BN347" s="194"/>
      <c r="BO347" s="194"/>
      <c r="BP347" s="194"/>
      <c r="BQ347" s="47"/>
      <c r="BR347" s="194"/>
      <c r="BS347" s="47"/>
      <c r="BT347" s="47"/>
      <c r="BU347" s="47"/>
      <c r="BV347" s="47"/>
      <c r="BW347" s="47"/>
      <c r="BX347" s="194">
        <v>26</v>
      </c>
      <c r="BY347" s="194"/>
      <c r="BZ347" s="194"/>
      <c r="CA347" s="194"/>
      <c r="CB347" s="194"/>
      <c r="CC347" s="47"/>
      <c r="CD347" s="47"/>
      <c r="CE347" s="47"/>
      <c r="CF347" s="47"/>
      <c r="CG347" s="47"/>
      <c r="CH347" s="47"/>
      <c r="CI347" s="47"/>
      <c r="CJ347" s="47"/>
      <c r="CK347" s="47"/>
      <c r="CL347" s="194"/>
      <c r="CM347" s="47"/>
      <c r="CN347" s="47"/>
      <c r="CO347" s="47"/>
      <c r="CP347" s="47"/>
      <c r="CQ347" s="47"/>
      <c r="CR347" s="47"/>
      <c r="CS347" s="198"/>
      <c r="CT347" s="47"/>
      <c r="CU347" s="47"/>
      <c r="CV347" s="47"/>
      <c r="CW347" s="47"/>
      <c r="CX347" s="194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198"/>
      <c r="DX347" s="47"/>
      <c r="DY347" s="194"/>
      <c r="DZ347" s="47"/>
      <c r="EA347" s="47"/>
      <c r="EB347" s="194"/>
      <c r="EC347" s="47"/>
      <c r="ED347" s="195"/>
      <c r="EE347" s="195"/>
      <c r="EF347" s="195"/>
      <c r="EG347" s="195"/>
      <c r="EH347" s="195"/>
      <c r="EI347" s="196"/>
      <c r="EJ347" s="201"/>
      <c r="EK347" s="202"/>
      <c r="EL347" s="5"/>
      <c r="FA347" s="251">
        <f t="shared" si="18"/>
        <v>18</v>
      </c>
    </row>
    <row r="348" spans="1:157" s="1" customFormat="1" ht="20.149999999999999" customHeight="1" x14ac:dyDescent="0.35">
      <c r="A348" s="47"/>
      <c r="B348" s="47" t="s">
        <v>1235</v>
      </c>
      <c r="C348" s="373" t="s">
        <v>1594</v>
      </c>
      <c r="D348" s="252" t="s">
        <v>637</v>
      </c>
      <c r="E348" s="2" t="s">
        <v>1612</v>
      </c>
      <c r="F348" s="2" t="s">
        <v>404</v>
      </c>
      <c r="G348" s="375" t="s">
        <v>32</v>
      </c>
      <c r="H348" s="328">
        <v>27</v>
      </c>
      <c r="I348" s="47"/>
      <c r="J348" s="47"/>
      <c r="K348" s="47"/>
      <c r="L348" s="47"/>
      <c r="M348" s="47"/>
      <c r="N348" s="194"/>
      <c r="O348" s="194"/>
      <c r="P348" s="194"/>
      <c r="Q348" s="194"/>
      <c r="R348" s="47"/>
      <c r="S348" s="194"/>
      <c r="T348" s="47"/>
      <c r="U348" s="194"/>
      <c r="V348" s="47"/>
      <c r="W348" s="194"/>
      <c r="X348" s="47"/>
      <c r="Y348" s="194"/>
      <c r="Z348" s="194"/>
      <c r="AA348" s="47"/>
      <c r="AB348" s="47"/>
      <c r="AC348" s="47"/>
      <c r="AD348" s="47"/>
      <c r="AE348" s="194"/>
      <c r="AF348" s="194"/>
      <c r="AG348" s="194"/>
      <c r="AH348" s="5"/>
      <c r="AI348" s="47"/>
      <c r="AJ348" s="198"/>
      <c r="AK348" s="47"/>
      <c r="AL348" s="47"/>
      <c r="AM348" s="47"/>
      <c r="AN348" s="47"/>
      <c r="AO348" s="47"/>
      <c r="AP348" s="194"/>
      <c r="AQ348" s="47"/>
      <c r="AR348" s="47"/>
      <c r="AS348" s="47"/>
      <c r="AT348" s="194"/>
      <c r="AU348" s="194"/>
      <c r="AV348" s="194"/>
      <c r="AW348" s="194"/>
      <c r="AX348" s="194"/>
      <c r="AY348" s="194"/>
      <c r="AZ348" s="194"/>
      <c r="BA348" s="194"/>
      <c r="BB348" s="194"/>
      <c r="BC348" s="194"/>
      <c r="BD348" s="194"/>
      <c r="BE348" s="194"/>
      <c r="BF348" s="194"/>
      <c r="BG348" s="194"/>
      <c r="BH348" s="194"/>
      <c r="BI348" s="194"/>
      <c r="BJ348" s="194"/>
      <c r="BK348" s="194"/>
      <c r="BL348" s="194"/>
      <c r="BM348" s="194"/>
      <c r="BN348" s="194"/>
      <c r="BO348" s="194"/>
      <c r="BP348" s="194"/>
      <c r="BQ348" s="47"/>
      <c r="BR348" s="194"/>
      <c r="BS348" s="47"/>
      <c r="BT348" s="47"/>
      <c r="BU348" s="47"/>
      <c r="BV348" s="47"/>
      <c r="BW348" s="47"/>
      <c r="BX348" s="194"/>
      <c r="BY348" s="194"/>
      <c r="BZ348" s="194"/>
      <c r="CA348" s="194"/>
      <c r="CB348" s="194"/>
      <c r="CC348" s="47"/>
      <c r="CD348" s="47"/>
      <c r="CE348" s="47"/>
      <c r="CF348" s="47"/>
      <c r="CG348" s="47"/>
      <c r="CH348" s="47"/>
      <c r="CI348" s="47"/>
      <c r="CJ348" s="47"/>
      <c r="CK348" s="47"/>
      <c r="CL348" s="194"/>
      <c r="CM348" s="47"/>
      <c r="CN348" s="47"/>
      <c r="CO348" s="47"/>
      <c r="CP348" s="47"/>
      <c r="CQ348" s="47"/>
      <c r="CR348" s="47"/>
      <c r="CS348" s="198"/>
      <c r="CT348" s="47"/>
      <c r="CU348" s="47"/>
      <c r="CV348" s="47"/>
      <c r="CW348" s="47"/>
      <c r="CX348" s="194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198"/>
      <c r="DX348" s="47"/>
      <c r="DY348" s="194"/>
      <c r="DZ348" s="47"/>
      <c r="EA348" s="47"/>
      <c r="EB348" s="194"/>
      <c r="EC348" s="47"/>
      <c r="ED348" s="195"/>
      <c r="EE348" s="195"/>
      <c r="EF348" s="195"/>
      <c r="EG348" s="195"/>
      <c r="EH348" s="195"/>
      <c r="EI348" s="196"/>
      <c r="EJ348" s="201"/>
      <c r="EK348" s="202"/>
      <c r="EL348" s="5"/>
      <c r="FA348" s="251">
        <f t="shared" si="18"/>
        <v>27</v>
      </c>
    </row>
    <row r="349" spans="1:157" s="1" customFormat="1" ht="20.149999999999999" customHeight="1" x14ac:dyDescent="0.35">
      <c r="A349" s="47"/>
      <c r="B349" s="373" t="s">
        <v>1269</v>
      </c>
      <c r="C349" s="373"/>
      <c r="D349" s="386"/>
      <c r="E349" s="374"/>
      <c r="F349" s="374"/>
      <c r="G349" s="2"/>
      <c r="H349" s="223"/>
      <c r="I349" s="47"/>
      <c r="J349" s="47"/>
      <c r="K349" s="47"/>
      <c r="L349" s="47"/>
      <c r="M349" s="47"/>
      <c r="N349" s="194"/>
      <c r="O349" s="194"/>
      <c r="P349" s="194"/>
      <c r="Q349" s="194"/>
      <c r="R349" s="47"/>
      <c r="S349" s="194"/>
      <c r="T349" s="47"/>
      <c r="U349" s="194"/>
      <c r="V349" s="47"/>
      <c r="W349" s="194"/>
      <c r="X349" s="47"/>
      <c r="Y349" s="194"/>
      <c r="Z349" s="194"/>
      <c r="AA349" s="47"/>
      <c r="AB349" s="47"/>
      <c r="AC349" s="47"/>
      <c r="AD349" s="47"/>
      <c r="AE349" s="194"/>
      <c r="AF349" s="194"/>
      <c r="AG349" s="194"/>
      <c r="AH349" s="5"/>
      <c r="AI349" s="47"/>
      <c r="AJ349" s="198"/>
      <c r="AK349" s="47"/>
      <c r="AL349" s="47"/>
      <c r="AM349" s="47"/>
      <c r="AN349" s="47"/>
      <c r="AO349" s="47"/>
      <c r="AP349" s="194"/>
      <c r="AQ349" s="47"/>
      <c r="AR349" s="47"/>
      <c r="AS349" s="47"/>
      <c r="AT349" s="194"/>
      <c r="AU349" s="194"/>
      <c r="AV349" s="194"/>
      <c r="AW349" s="194"/>
      <c r="AX349" s="194"/>
      <c r="AY349" s="194"/>
      <c r="AZ349" s="194"/>
      <c r="BA349" s="194"/>
      <c r="BB349" s="194"/>
      <c r="BC349" s="194"/>
      <c r="BD349" s="194"/>
      <c r="BE349" s="194"/>
      <c r="BF349" s="194"/>
      <c r="BG349" s="194"/>
      <c r="BH349" s="194"/>
      <c r="BI349" s="194"/>
      <c r="BJ349" s="194"/>
      <c r="BK349" s="194"/>
      <c r="BL349" s="194"/>
      <c r="BM349" s="194"/>
      <c r="BN349" s="194"/>
      <c r="BO349" s="194"/>
      <c r="BP349" s="194"/>
      <c r="BQ349" s="47"/>
      <c r="BR349" s="194"/>
      <c r="BS349" s="47"/>
      <c r="BT349" s="47"/>
      <c r="BU349" s="47"/>
      <c r="BV349" s="47"/>
      <c r="BW349" s="47"/>
      <c r="BX349" s="194"/>
      <c r="BY349" s="194"/>
      <c r="BZ349" s="194"/>
      <c r="CA349" s="194"/>
      <c r="CB349" s="194"/>
      <c r="CC349" s="47"/>
      <c r="CD349" s="47"/>
      <c r="CE349" s="47"/>
      <c r="CF349" s="47"/>
      <c r="CG349" s="47"/>
      <c r="CH349" s="47"/>
      <c r="CI349" s="47"/>
      <c r="CJ349" s="47"/>
      <c r="CK349" s="47"/>
      <c r="CL349" s="194"/>
      <c r="CM349" s="47"/>
      <c r="CN349" s="47"/>
      <c r="CO349" s="47"/>
      <c r="CP349" s="47"/>
      <c r="CQ349" s="47"/>
      <c r="CR349" s="47"/>
      <c r="CS349" s="198"/>
      <c r="CT349" s="47"/>
      <c r="CU349" s="47"/>
      <c r="CV349" s="47"/>
      <c r="CW349" s="47"/>
      <c r="CX349" s="194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198"/>
      <c r="DX349" s="47"/>
      <c r="DY349" s="194"/>
      <c r="DZ349" s="47"/>
      <c r="EA349" s="47"/>
      <c r="EB349" s="194"/>
      <c r="EC349" s="47"/>
      <c r="ED349" s="195"/>
      <c r="EE349" s="195"/>
      <c r="EF349" s="195"/>
      <c r="EG349" s="195"/>
      <c r="EH349" s="195"/>
      <c r="EI349" s="196"/>
      <c r="EJ349" s="201"/>
      <c r="EK349" s="202"/>
      <c r="EL349" s="5"/>
      <c r="FA349" s="251">
        <f t="shared" si="18"/>
        <v>0</v>
      </c>
    </row>
    <row r="350" spans="1:157" s="1" customFormat="1" ht="20.149999999999999" customHeight="1" x14ac:dyDescent="0.35">
      <c r="A350" s="47"/>
      <c r="B350" s="47" t="s">
        <v>1270</v>
      </c>
      <c r="C350" s="47" t="s">
        <v>1613</v>
      </c>
      <c r="D350" s="252" t="s">
        <v>1610</v>
      </c>
      <c r="E350" s="2" t="s">
        <v>711</v>
      </c>
      <c r="F350" s="2" t="s">
        <v>1611</v>
      </c>
      <c r="G350" s="2" t="s">
        <v>32</v>
      </c>
      <c r="H350" s="57">
        <v>36</v>
      </c>
      <c r="I350" s="47"/>
      <c r="J350" s="47"/>
      <c r="K350" s="47"/>
      <c r="L350" s="47"/>
      <c r="M350" s="47"/>
      <c r="N350" s="194"/>
      <c r="O350" s="194"/>
      <c r="P350" s="194"/>
      <c r="Q350" s="194"/>
      <c r="R350" s="47"/>
      <c r="S350" s="194"/>
      <c r="T350" s="47"/>
      <c r="U350" s="194"/>
      <c r="V350" s="47"/>
      <c r="W350" s="194"/>
      <c r="X350" s="47"/>
      <c r="Y350" s="194"/>
      <c r="Z350" s="194"/>
      <c r="AA350" s="47"/>
      <c r="AB350" s="47"/>
      <c r="AC350" s="47"/>
      <c r="AD350" s="47"/>
      <c r="AE350" s="194"/>
      <c r="AF350" s="194"/>
      <c r="AG350" s="194"/>
      <c r="AH350" s="5"/>
      <c r="AI350" s="47"/>
      <c r="AJ350" s="198"/>
      <c r="AK350" s="47"/>
      <c r="AL350" s="47"/>
      <c r="AM350" s="47"/>
      <c r="AN350" s="47"/>
      <c r="AO350" s="47"/>
      <c r="AP350" s="194"/>
      <c r="AQ350" s="47"/>
      <c r="AR350" s="47"/>
      <c r="AS350" s="47"/>
      <c r="AT350" s="194"/>
      <c r="AU350" s="194"/>
      <c r="AV350" s="194"/>
      <c r="AW350" s="194"/>
      <c r="AX350" s="194"/>
      <c r="AY350" s="194"/>
      <c r="AZ350" s="194"/>
      <c r="BA350" s="194"/>
      <c r="BB350" s="194"/>
      <c r="BC350" s="194"/>
      <c r="BD350" s="194"/>
      <c r="BE350" s="194"/>
      <c r="BF350" s="194"/>
      <c r="BG350" s="194"/>
      <c r="BH350" s="194"/>
      <c r="BI350" s="194"/>
      <c r="BJ350" s="194"/>
      <c r="BK350" s="194"/>
      <c r="BL350" s="194"/>
      <c r="BM350" s="194"/>
      <c r="BN350" s="194"/>
      <c r="BO350" s="194"/>
      <c r="BP350" s="194"/>
      <c r="BQ350" s="47"/>
      <c r="BR350" s="194"/>
      <c r="BS350" s="47"/>
      <c r="BT350" s="47"/>
      <c r="BU350" s="47"/>
      <c r="BV350" s="47"/>
      <c r="BW350" s="47"/>
      <c r="BX350" s="194"/>
      <c r="BY350" s="194"/>
      <c r="BZ350" s="194"/>
      <c r="CA350" s="194"/>
      <c r="CB350" s="194"/>
      <c r="CC350" s="47"/>
      <c r="CD350" s="47"/>
      <c r="CE350" s="47"/>
      <c r="CF350" s="47"/>
      <c r="CG350" s="47"/>
      <c r="CH350" s="47"/>
      <c r="CI350" s="47"/>
      <c r="CJ350" s="47"/>
      <c r="CK350" s="47"/>
      <c r="CL350" s="194">
        <v>44</v>
      </c>
      <c r="CM350" s="47"/>
      <c r="CN350" s="47"/>
      <c r="CO350" s="47"/>
      <c r="CP350" s="47"/>
      <c r="CQ350" s="47"/>
      <c r="CR350" s="47"/>
      <c r="CS350" s="198"/>
      <c r="CT350" s="47"/>
      <c r="CU350" s="47"/>
      <c r="CV350" s="47"/>
      <c r="CW350" s="47"/>
      <c r="CX350" s="194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198"/>
      <c r="DX350" s="47"/>
      <c r="DY350" s="194"/>
      <c r="DZ350" s="47"/>
      <c r="EA350" s="47"/>
      <c r="EB350" s="194"/>
      <c r="EC350" s="47"/>
      <c r="ED350" s="195"/>
      <c r="EE350" s="195"/>
      <c r="EF350" s="195"/>
      <c r="EG350" s="195"/>
      <c r="EH350" s="195"/>
      <c r="EI350" s="196"/>
      <c r="EJ350" s="201"/>
      <c r="EK350" s="202"/>
      <c r="EL350" s="5"/>
      <c r="FA350" s="251">
        <f t="shared" ref="FA350:FA415" si="20">H350</f>
        <v>36</v>
      </c>
    </row>
    <row r="351" spans="1:157" s="1" customFormat="1" ht="20.149999999999999" customHeight="1" x14ac:dyDescent="0.35">
      <c r="A351" s="47"/>
      <c r="B351" s="47" t="s">
        <v>1271</v>
      </c>
      <c r="C351" s="47"/>
      <c r="D351" s="252"/>
      <c r="E351" s="2"/>
      <c r="F351" s="2"/>
      <c r="G351" s="2"/>
      <c r="H351" s="223"/>
      <c r="I351" s="47"/>
      <c r="J351" s="47"/>
      <c r="K351" s="47"/>
      <c r="L351" s="47"/>
      <c r="M351" s="47"/>
      <c r="N351" s="194"/>
      <c r="O351" s="194"/>
      <c r="P351" s="194"/>
      <c r="Q351" s="194"/>
      <c r="R351" s="47"/>
      <c r="S351" s="194"/>
      <c r="T351" s="47"/>
      <c r="U351" s="194"/>
      <c r="V351" s="47"/>
      <c r="W351" s="194"/>
      <c r="X351" s="47"/>
      <c r="Y351" s="194"/>
      <c r="Z351" s="194"/>
      <c r="AA351" s="47"/>
      <c r="AB351" s="47"/>
      <c r="AC351" s="47"/>
      <c r="AD351" s="47"/>
      <c r="AE351" s="194"/>
      <c r="AF351" s="194"/>
      <c r="AG351" s="194"/>
      <c r="AH351" s="5"/>
      <c r="AI351" s="47"/>
      <c r="AJ351" s="198"/>
      <c r="AK351" s="47"/>
      <c r="AL351" s="47"/>
      <c r="AM351" s="47"/>
      <c r="AN351" s="47"/>
      <c r="AO351" s="47"/>
      <c r="AP351" s="194"/>
      <c r="AQ351" s="47"/>
      <c r="AR351" s="47"/>
      <c r="AS351" s="47"/>
      <c r="AT351" s="194"/>
      <c r="AU351" s="194"/>
      <c r="AV351" s="194"/>
      <c r="AW351" s="194"/>
      <c r="AX351" s="194"/>
      <c r="AY351" s="194"/>
      <c r="AZ351" s="194"/>
      <c r="BA351" s="194"/>
      <c r="BB351" s="194"/>
      <c r="BC351" s="194"/>
      <c r="BD351" s="194"/>
      <c r="BE351" s="194"/>
      <c r="BF351" s="194"/>
      <c r="BG351" s="194"/>
      <c r="BH351" s="194"/>
      <c r="BI351" s="194"/>
      <c r="BJ351" s="194"/>
      <c r="BK351" s="194"/>
      <c r="BL351" s="194"/>
      <c r="BM351" s="194"/>
      <c r="BN351" s="194"/>
      <c r="BO351" s="194"/>
      <c r="BP351" s="194"/>
      <c r="BQ351" s="47"/>
      <c r="BR351" s="194"/>
      <c r="BS351" s="47"/>
      <c r="BT351" s="47"/>
      <c r="BU351" s="47"/>
      <c r="BV351" s="47"/>
      <c r="BW351" s="47"/>
      <c r="BX351" s="194"/>
      <c r="BY351" s="194"/>
      <c r="BZ351" s="194"/>
      <c r="CA351" s="194"/>
      <c r="CB351" s="194"/>
      <c r="CC351" s="47"/>
      <c r="CD351" s="47"/>
      <c r="CE351" s="47"/>
      <c r="CF351" s="47"/>
      <c r="CG351" s="47"/>
      <c r="CH351" s="47"/>
      <c r="CI351" s="47"/>
      <c r="CJ351" s="47"/>
      <c r="CK351" s="47"/>
      <c r="CL351" s="194"/>
      <c r="CM351" s="47"/>
      <c r="CN351" s="47"/>
      <c r="CO351" s="47"/>
      <c r="CP351" s="47"/>
      <c r="CQ351" s="47"/>
      <c r="CR351" s="47"/>
      <c r="CS351" s="198"/>
      <c r="CT351" s="47"/>
      <c r="CU351" s="47"/>
      <c r="CV351" s="47"/>
      <c r="CW351" s="47"/>
      <c r="CX351" s="194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198"/>
      <c r="DX351" s="47"/>
      <c r="DY351" s="194"/>
      <c r="DZ351" s="47"/>
      <c r="EA351" s="47"/>
      <c r="EB351" s="194"/>
      <c r="EC351" s="47"/>
      <c r="ED351" s="195"/>
      <c r="EE351" s="195"/>
      <c r="EF351" s="195"/>
      <c r="EG351" s="195"/>
      <c r="EH351" s="195"/>
      <c r="EI351" s="196"/>
      <c r="EJ351" s="201"/>
      <c r="EK351" s="202"/>
      <c r="EL351" s="5"/>
      <c r="FA351" s="251">
        <f t="shared" si="20"/>
        <v>0</v>
      </c>
    </row>
    <row r="352" spans="1:157" s="1" customFormat="1" ht="20.149999999999999" customHeight="1" x14ac:dyDescent="0.35">
      <c r="A352" s="47"/>
      <c r="B352" s="189" t="s">
        <v>1272</v>
      </c>
      <c r="C352" s="47"/>
      <c r="D352" s="2"/>
      <c r="E352" s="2"/>
      <c r="F352" s="48"/>
      <c r="G352" s="48"/>
      <c r="H352" s="223"/>
      <c r="I352" s="47"/>
      <c r="J352" s="47"/>
      <c r="K352" s="47"/>
      <c r="L352" s="47"/>
      <c r="M352" s="47"/>
      <c r="N352" s="194"/>
      <c r="O352" s="194"/>
      <c r="P352" s="194"/>
      <c r="Q352" s="194"/>
      <c r="R352" s="47"/>
      <c r="S352" s="194"/>
      <c r="T352" s="47"/>
      <c r="U352" s="194"/>
      <c r="V352" s="47"/>
      <c r="W352" s="194"/>
      <c r="X352" s="47"/>
      <c r="Y352" s="194"/>
      <c r="Z352" s="194"/>
      <c r="AA352" s="47"/>
      <c r="AB352" s="47"/>
      <c r="AC352" s="47"/>
      <c r="AD352" s="47"/>
      <c r="AE352" s="194"/>
      <c r="AF352" s="194"/>
      <c r="AG352" s="194"/>
      <c r="AH352" s="5"/>
      <c r="AI352" s="47"/>
      <c r="AJ352" s="198"/>
      <c r="AK352" s="47"/>
      <c r="AL352" s="47"/>
      <c r="AM352" s="47"/>
      <c r="AN352" s="47"/>
      <c r="AO352" s="47"/>
      <c r="AP352" s="194"/>
      <c r="AQ352" s="47"/>
      <c r="AR352" s="47"/>
      <c r="AS352" s="47"/>
      <c r="AT352" s="194"/>
      <c r="AU352" s="194"/>
      <c r="AV352" s="194"/>
      <c r="AW352" s="194"/>
      <c r="AX352" s="194"/>
      <c r="AY352" s="194"/>
      <c r="AZ352" s="194"/>
      <c r="BA352" s="194"/>
      <c r="BB352" s="194"/>
      <c r="BC352" s="194"/>
      <c r="BD352" s="194"/>
      <c r="BE352" s="194"/>
      <c r="BF352" s="194"/>
      <c r="BG352" s="194"/>
      <c r="BH352" s="194"/>
      <c r="BI352" s="194"/>
      <c r="BJ352" s="194"/>
      <c r="BK352" s="194"/>
      <c r="BL352" s="194"/>
      <c r="BM352" s="194"/>
      <c r="BN352" s="194"/>
      <c r="BO352" s="194"/>
      <c r="BP352" s="194"/>
      <c r="BQ352" s="47"/>
      <c r="BR352" s="194"/>
      <c r="BS352" s="47"/>
      <c r="BT352" s="47"/>
      <c r="BU352" s="47"/>
      <c r="BV352" s="47"/>
      <c r="BW352" s="47"/>
      <c r="BX352" s="194"/>
      <c r="BY352" s="194"/>
      <c r="BZ352" s="194"/>
      <c r="CA352" s="194"/>
      <c r="CB352" s="194"/>
      <c r="CC352" s="47"/>
      <c r="CD352" s="47"/>
      <c r="CE352" s="47"/>
      <c r="CF352" s="47"/>
      <c r="CG352" s="47"/>
      <c r="CH352" s="47"/>
      <c r="CI352" s="47"/>
      <c r="CJ352" s="47"/>
      <c r="CK352" s="47"/>
      <c r="CL352" s="194"/>
      <c r="CM352" s="47"/>
      <c r="CN352" s="47"/>
      <c r="CO352" s="47"/>
      <c r="CP352" s="47"/>
      <c r="CQ352" s="47"/>
      <c r="CR352" s="47"/>
      <c r="CS352" s="198"/>
      <c r="CT352" s="47"/>
      <c r="CU352" s="47"/>
      <c r="CV352" s="47"/>
      <c r="CW352" s="47"/>
      <c r="CX352" s="194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198"/>
      <c r="DX352" s="47"/>
      <c r="DY352" s="194"/>
      <c r="DZ352" s="47"/>
      <c r="EA352" s="47"/>
      <c r="EB352" s="194"/>
      <c r="EC352" s="47"/>
      <c r="ED352" s="195"/>
      <c r="EE352" s="195"/>
      <c r="EF352" s="195"/>
      <c r="EG352" s="195"/>
      <c r="EH352" s="195"/>
      <c r="EI352" s="196"/>
      <c r="EJ352" s="201"/>
      <c r="EK352" s="202"/>
      <c r="EL352" s="5"/>
      <c r="FA352" s="251">
        <f t="shared" si="20"/>
        <v>0</v>
      </c>
    </row>
    <row r="353" spans="1:157" s="1" customFormat="1" ht="20.149999999999999" customHeight="1" x14ac:dyDescent="0.35">
      <c r="A353" s="47"/>
      <c r="B353" s="189" t="s">
        <v>1285</v>
      </c>
      <c r="C353" s="47" t="s">
        <v>1427</v>
      </c>
      <c r="D353" s="2" t="s">
        <v>637</v>
      </c>
      <c r="E353" s="2" t="s">
        <v>1286</v>
      </c>
      <c r="F353" s="48" t="s">
        <v>1287</v>
      </c>
      <c r="G353" s="48" t="s">
        <v>32</v>
      </c>
      <c r="H353" s="328">
        <v>19</v>
      </c>
      <c r="I353" s="47"/>
      <c r="J353" s="47"/>
      <c r="K353" s="47"/>
      <c r="L353" s="47"/>
      <c r="M353" s="47">
        <v>23</v>
      </c>
      <c r="N353" s="194"/>
      <c r="O353" s="194"/>
      <c r="P353" s="194"/>
      <c r="Q353" s="194"/>
      <c r="R353" s="47"/>
      <c r="S353" s="194"/>
      <c r="T353" s="47"/>
      <c r="U353" s="194"/>
      <c r="V353" s="47"/>
      <c r="W353" s="194"/>
      <c r="X353" s="47"/>
      <c r="Y353" s="194"/>
      <c r="Z353" s="194"/>
      <c r="AA353" s="47"/>
      <c r="AB353" s="47">
        <v>25</v>
      </c>
      <c r="AC353" s="47"/>
      <c r="AD353" s="47"/>
      <c r="AE353" s="194"/>
      <c r="AF353" s="194"/>
      <c r="AG353" s="194"/>
      <c r="AH353" s="5"/>
      <c r="AI353" s="47"/>
      <c r="AJ353" s="198"/>
      <c r="AK353" s="47"/>
      <c r="AL353" s="47"/>
      <c r="AM353" s="47"/>
      <c r="AN353" s="47"/>
      <c r="AO353" s="47"/>
      <c r="AP353" s="194"/>
      <c r="AQ353" s="47"/>
      <c r="AR353" s="47">
        <v>21</v>
      </c>
      <c r="AS353" s="47"/>
      <c r="AT353" s="194">
        <v>22</v>
      </c>
      <c r="AU353" s="194"/>
      <c r="AV353" s="194"/>
      <c r="AW353" s="194"/>
      <c r="AX353" s="194"/>
      <c r="AY353" s="194"/>
      <c r="AZ353" s="194"/>
      <c r="BA353" s="194"/>
      <c r="BB353" s="194"/>
      <c r="BC353" s="194"/>
      <c r="BD353" s="194"/>
      <c r="BE353" s="194"/>
      <c r="BF353" s="194"/>
      <c r="BG353" s="194"/>
      <c r="BH353" s="194"/>
      <c r="BI353" s="194"/>
      <c r="BJ353" s="194"/>
      <c r="BK353" s="194"/>
      <c r="BL353" s="194"/>
      <c r="BM353" s="194">
        <v>23</v>
      </c>
      <c r="BN353" s="194"/>
      <c r="BO353" s="194"/>
      <c r="BP353" s="194"/>
      <c r="BQ353" s="47"/>
      <c r="BR353" s="194"/>
      <c r="BS353" s="47">
        <v>23</v>
      </c>
      <c r="BT353" s="47"/>
      <c r="BU353" s="47"/>
      <c r="BV353" s="47"/>
      <c r="BW353" s="47"/>
      <c r="BX353" s="194"/>
      <c r="BY353" s="194"/>
      <c r="BZ353" s="194">
        <v>24</v>
      </c>
      <c r="CA353" s="194"/>
      <c r="CB353" s="194"/>
      <c r="CC353" s="47"/>
      <c r="CD353" s="47"/>
      <c r="CE353" s="47"/>
      <c r="CF353" s="47"/>
      <c r="CG353" s="47"/>
      <c r="CH353" s="47"/>
      <c r="CI353" s="47"/>
      <c r="CJ353" s="47"/>
      <c r="CK353" s="47"/>
      <c r="CL353" s="194"/>
      <c r="CM353" s="47"/>
      <c r="CN353" s="47"/>
      <c r="CO353" s="47"/>
      <c r="CP353" s="47"/>
      <c r="CQ353" s="47"/>
      <c r="CR353" s="47"/>
      <c r="CS353" s="198">
        <v>24</v>
      </c>
      <c r="CT353" s="47"/>
      <c r="CU353" s="47"/>
      <c r="CV353" s="47">
        <v>23</v>
      </c>
      <c r="CW353" s="47"/>
      <c r="CX353" s="194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>
        <v>23</v>
      </c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198"/>
      <c r="DX353" s="47"/>
      <c r="DY353" s="194"/>
      <c r="DZ353" s="47"/>
      <c r="EA353" s="47"/>
      <c r="EB353" s="194"/>
      <c r="EC353" s="47"/>
      <c r="ED353" s="195"/>
      <c r="EE353" s="195"/>
      <c r="EF353" s="195"/>
      <c r="EG353" s="195"/>
      <c r="EH353" s="195"/>
      <c r="EI353" s="196"/>
      <c r="EJ353" s="201"/>
      <c r="EK353" s="202"/>
      <c r="EL353" s="5"/>
      <c r="FA353" s="251">
        <f t="shared" si="20"/>
        <v>19</v>
      </c>
    </row>
    <row r="354" spans="1:157" s="1" customFormat="1" ht="20.149999999999999" customHeight="1" x14ac:dyDescent="0.35">
      <c r="A354" s="47"/>
      <c r="B354" s="189" t="s">
        <v>1297</v>
      </c>
      <c r="C354" s="47" t="s">
        <v>1427</v>
      </c>
      <c r="D354" s="2" t="s">
        <v>637</v>
      </c>
      <c r="E354" s="2" t="s">
        <v>1286</v>
      </c>
      <c r="F354" s="2" t="s">
        <v>1579</v>
      </c>
      <c r="G354" s="48" t="s">
        <v>912</v>
      </c>
      <c r="H354" s="223">
        <v>0.79</v>
      </c>
      <c r="I354" s="47"/>
      <c r="J354" s="47"/>
      <c r="K354" s="47"/>
      <c r="L354" s="47"/>
      <c r="M354" s="47"/>
      <c r="N354" s="194"/>
      <c r="O354" s="194"/>
      <c r="P354" s="194"/>
      <c r="Q354" s="194"/>
      <c r="R354" s="47"/>
      <c r="S354" s="194"/>
      <c r="T354" s="47"/>
      <c r="U354" s="194"/>
      <c r="V354" s="47"/>
      <c r="W354" s="194"/>
      <c r="X354" s="47"/>
      <c r="Y354" s="194"/>
      <c r="Z354" s="194"/>
      <c r="AA354" s="47"/>
      <c r="AB354" s="47"/>
      <c r="AC354" s="47"/>
      <c r="AD354" s="47"/>
      <c r="AE354" s="194"/>
      <c r="AF354" s="194"/>
      <c r="AG354" s="194"/>
      <c r="AH354" s="5"/>
      <c r="AI354" s="47"/>
      <c r="AJ354" s="198"/>
      <c r="AK354" s="47"/>
      <c r="AL354" s="47"/>
      <c r="AM354" s="47"/>
      <c r="AN354" s="47"/>
      <c r="AO354" s="47"/>
      <c r="AP354" s="194"/>
      <c r="AQ354" s="47"/>
      <c r="AR354" s="47"/>
      <c r="AS354" s="47"/>
      <c r="AT354" s="194"/>
      <c r="AU354" s="194"/>
      <c r="AV354" s="194"/>
      <c r="AW354" s="194"/>
      <c r="AX354" s="194"/>
      <c r="AY354" s="194"/>
      <c r="AZ354" s="194"/>
      <c r="BA354" s="194"/>
      <c r="BB354" s="194"/>
      <c r="BC354" s="194"/>
      <c r="BD354" s="194"/>
      <c r="BE354" s="194"/>
      <c r="BF354" s="194"/>
      <c r="BG354" s="194"/>
      <c r="BH354" s="194"/>
      <c r="BI354" s="194"/>
      <c r="BJ354" s="194"/>
      <c r="BK354" s="194"/>
      <c r="BL354" s="194"/>
      <c r="BM354" s="194"/>
      <c r="BN354" s="194"/>
      <c r="BO354" s="194"/>
      <c r="BP354" s="194"/>
      <c r="BQ354" s="47"/>
      <c r="BR354" s="194"/>
      <c r="BS354" s="47"/>
      <c r="BT354" s="47"/>
      <c r="BU354" s="47"/>
      <c r="BV354" s="47"/>
      <c r="BW354" s="47"/>
      <c r="BX354" s="194"/>
      <c r="BY354" s="194"/>
      <c r="BZ354" s="194"/>
      <c r="CA354" s="194"/>
      <c r="CB354" s="194"/>
      <c r="CC354" s="47"/>
      <c r="CD354" s="47"/>
      <c r="CE354" s="47"/>
      <c r="CF354" s="47"/>
      <c r="CG354" s="47"/>
      <c r="CH354" s="47"/>
      <c r="CI354" s="47"/>
      <c r="CJ354" s="47"/>
      <c r="CK354" s="47"/>
      <c r="CL354" s="198"/>
      <c r="CM354" s="47"/>
      <c r="CN354" s="47"/>
      <c r="CO354" s="47"/>
      <c r="CP354" s="47"/>
      <c r="CQ354" s="47"/>
      <c r="CR354" s="47"/>
      <c r="CS354" s="198"/>
      <c r="CT354" s="47"/>
      <c r="CU354" s="47"/>
      <c r="CV354" s="47"/>
      <c r="CW354" s="47"/>
      <c r="CX354" s="194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198"/>
      <c r="DX354" s="47"/>
      <c r="DY354" s="194"/>
      <c r="DZ354" s="47"/>
      <c r="EA354" s="47"/>
      <c r="EB354" s="194"/>
      <c r="EC354" s="47"/>
      <c r="ED354" s="195"/>
      <c r="EE354" s="195"/>
      <c r="EF354" s="195"/>
      <c r="EG354" s="195"/>
      <c r="EH354" s="195"/>
      <c r="EI354" s="196"/>
      <c r="EJ354" s="201"/>
      <c r="EK354" s="202"/>
      <c r="EL354" s="5"/>
      <c r="FA354" s="251">
        <f t="shared" si="20"/>
        <v>0.79</v>
      </c>
    </row>
    <row r="355" spans="1:157" s="1" customFormat="1" ht="20.149999999999999" customHeight="1" x14ac:dyDescent="0.35">
      <c r="A355" s="47"/>
      <c r="B355" s="189" t="s">
        <v>1300</v>
      </c>
      <c r="C355" s="47" t="s">
        <v>1428</v>
      </c>
      <c r="D355" s="2" t="s">
        <v>637</v>
      </c>
      <c r="E355" s="2" t="s">
        <v>1286</v>
      </c>
      <c r="F355" s="48" t="s">
        <v>1287</v>
      </c>
      <c r="G355" s="48" t="s">
        <v>32</v>
      </c>
      <c r="H355" s="328">
        <v>18</v>
      </c>
      <c r="I355" s="47"/>
      <c r="J355" s="47"/>
      <c r="K355" s="47"/>
      <c r="L355" s="47">
        <v>23</v>
      </c>
      <c r="M355" s="47">
        <v>23</v>
      </c>
      <c r="N355" s="194"/>
      <c r="O355" s="194"/>
      <c r="P355" s="194"/>
      <c r="Q355" s="194"/>
      <c r="R355" s="47"/>
      <c r="S355" s="194"/>
      <c r="T355" s="47"/>
      <c r="U355" s="194"/>
      <c r="V355" s="47"/>
      <c r="W355" s="194"/>
      <c r="X355" s="47">
        <v>22</v>
      </c>
      <c r="Y355" s="194"/>
      <c r="Z355" s="194"/>
      <c r="AA355" s="47"/>
      <c r="AB355" s="47">
        <v>23</v>
      </c>
      <c r="AC355" s="47"/>
      <c r="AD355" s="47"/>
      <c r="AE355" s="194"/>
      <c r="AF355" s="194"/>
      <c r="AG355" s="194"/>
      <c r="AH355" s="5"/>
      <c r="AI355" s="47"/>
      <c r="AJ355" s="198"/>
      <c r="AK355" s="47"/>
      <c r="AL355" s="47"/>
      <c r="AM355" s="47"/>
      <c r="AN355" s="47"/>
      <c r="AO355" s="47"/>
      <c r="AP355" s="194"/>
      <c r="AQ355" s="47"/>
      <c r="AR355" s="47"/>
      <c r="AS355" s="47"/>
      <c r="AT355" s="194">
        <v>22</v>
      </c>
      <c r="AU355" s="194"/>
      <c r="AV355" s="194"/>
      <c r="AW355" s="194"/>
      <c r="AX355" s="194"/>
      <c r="AY355" s="194"/>
      <c r="AZ355" s="194"/>
      <c r="BA355" s="194"/>
      <c r="BB355" s="194"/>
      <c r="BC355" s="194"/>
      <c r="BD355" s="194"/>
      <c r="BE355" s="194"/>
      <c r="BF355" s="194"/>
      <c r="BG355" s="194"/>
      <c r="BH355" s="194"/>
      <c r="BI355" s="194"/>
      <c r="BJ355" s="194"/>
      <c r="BK355" s="194"/>
      <c r="BL355" s="194"/>
      <c r="BM355" s="194">
        <v>23</v>
      </c>
      <c r="BN355" s="194"/>
      <c r="BO355" s="194"/>
      <c r="BP355" s="194"/>
      <c r="BQ355" s="47"/>
      <c r="BR355" s="194"/>
      <c r="BS355" s="47"/>
      <c r="BT355" s="47"/>
      <c r="BU355" s="47"/>
      <c r="BV355" s="47"/>
      <c r="BW355" s="47"/>
      <c r="BX355" s="194">
        <v>23</v>
      </c>
      <c r="BY355" s="194"/>
      <c r="BZ355" s="194">
        <v>24</v>
      </c>
      <c r="CA355" s="194"/>
      <c r="CB355" s="194"/>
      <c r="CC355" s="47"/>
      <c r="CD355" s="47"/>
      <c r="CE355" s="47"/>
      <c r="CF355" s="47"/>
      <c r="CG355" s="47"/>
      <c r="CH355" s="47"/>
      <c r="CI355" s="47"/>
      <c r="CJ355" s="47"/>
      <c r="CK355" s="47"/>
      <c r="CL355" s="194"/>
      <c r="CM355" s="47"/>
      <c r="CN355" s="47"/>
      <c r="CO355" s="47"/>
      <c r="CP355" s="47"/>
      <c r="CQ355" s="47"/>
      <c r="CR355" s="47"/>
      <c r="CS355" s="198"/>
      <c r="CT355" s="47"/>
      <c r="CU355" s="47"/>
      <c r="CV355" s="47">
        <v>23</v>
      </c>
      <c r="CW355" s="47"/>
      <c r="CX355" s="194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>
        <v>23</v>
      </c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198"/>
      <c r="DX355" s="47"/>
      <c r="DY355" s="194"/>
      <c r="DZ355" s="47"/>
      <c r="EA355" s="47"/>
      <c r="EB355" s="194"/>
      <c r="EC355" s="47"/>
      <c r="ED355" s="195"/>
      <c r="EE355" s="195"/>
      <c r="EF355" s="195"/>
      <c r="EG355" s="195"/>
      <c r="EH355" s="195"/>
      <c r="EI355" s="196"/>
      <c r="EJ355" s="201"/>
      <c r="EK355" s="202"/>
      <c r="EL355" s="5"/>
      <c r="FA355" s="251">
        <f t="shared" si="20"/>
        <v>18</v>
      </c>
    </row>
    <row r="356" spans="1:157" s="1" customFormat="1" ht="20.149999999999999" customHeight="1" x14ac:dyDescent="0.35">
      <c r="A356" s="47"/>
      <c r="B356" s="189" t="s">
        <v>1301</v>
      </c>
      <c r="C356" s="47"/>
      <c r="D356" s="2"/>
      <c r="E356" s="2"/>
      <c r="F356" s="48"/>
      <c r="G356" s="48"/>
      <c r="H356" s="223"/>
      <c r="I356" s="47"/>
      <c r="J356" s="47"/>
      <c r="K356" s="47"/>
      <c r="L356" s="47"/>
      <c r="M356" s="47"/>
      <c r="N356" s="194"/>
      <c r="O356" s="194"/>
      <c r="P356" s="194"/>
      <c r="Q356" s="194"/>
      <c r="R356" s="47"/>
      <c r="S356" s="194"/>
      <c r="T356" s="47"/>
      <c r="U356" s="194"/>
      <c r="V356" s="47"/>
      <c r="W356" s="194"/>
      <c r="X356" s="47"/>
      <c r="Y356" s="194"/>
      <c r="Z356" s="194"/>
      <c r="AA356" s="47"/>
      <c r="AB356" s="47"/>
      <c r="AC356" s="47"/>
      <c r="AD356" s="47"/>
      <c r="AE356" s="194"/>
      <c r="AF356" s="194"/>
      <c r="AG356" s="194"/>
      <c r="AH356" s="5"/>
      <c r="AI356" s="47"/>
      <c r="AJ356" s="198"/>
      <c r="AK356" s="47"/>
      <c r="AL356" s="47"/>
      <c r="AM356" s="47"/>
      <c r="AN356" s="47"/>
      <c r="AO356" s="47"/>
      <c r="AP356" s="194"/>
      <c r="AQ356" s="47"/>
      <c r="AR356" s="47"/>
      <c r="AS356" s="47"/>
      <c r="AT356" s="194"/>
      <c r="AU356" s="194"/>
      <c r="AV356" s="194"/>
      <c r="AW356" s="194"/>
      <c r="AX356" s="194"/>
      <c r="AY356" s="194"/>
      <c r="AZ356" s="194"/>
      <c r="BA356" s="194"/>
      <c r="BB356" s="194"/>
      <c r="BC356" s="194"/>
      <c r="BD356" s="194"/>
      <c r="BE356" s="194"/>
      <c r="BF356" s="194"/>
      <c r="BG356" s="194"/>
      <c r="BH356" s="194"/>
      <c r="BI356" s="194"/>
      <c r="BJ356" s="194"/>
      <c r="BK356" s="194"/>
      <c r="BL356" s="194"/>
      <c r="BM356" s="194"/>
      <c r="BN356" s="194"/>
      <c r="BO356" s="194"/>
      <c r="BP356" s="194"/>
      <c r="BQ356" s="47"/>
      <c r="BR356" s="194"/>
      <c r="BS356" s="47"/>
      <c r="BT356" s="47"/>
      <c r="BU356" s="47"/>
      <c r="BV356" s="47"/>
      <c r="BW356" s="47"/>
      <c r="BX356" s="194">
        <v>0.9</v>
      </c>
      <c r="BY356" s="194"/>
      <c r="BZ356" s="194"/>
      <c r="CA356" s="194"/>
      <c r="CB356" s="194"/>
      <c r="CC356" s="47"/>
      <c r="CD356" s="47"/>
      <c r="CE356" s="47"/>
      <c r="CF356" s="47"/>
      <c r="CG356" s="47"/>
      <c r="CH356" s="47"/>
      <c r="CI356" s="47"/>
      <c r="CJ356" s="47"/>
      <c r="CK356" s="47"/>
      <c r="CL356" s="194"/>
      <c r="CM356" s="47"/>
      <c r="CN356" s="47"/>
      <c r="CO356" s="47"/>
      <c r="CP356" s="47"/>
      <c r="CQ356" s="47"/>
      <c r="CR356" s="47"/>
      <c r="CS356" s="198"/>
      <c r="CT356" s="47"/>
      <c r="CU356" s="47"/>
      <c r="CV356" s="47"/>
      <c r="CW356" s="47"/>
      <c r="CX356" s="194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198"/>
      <c r="DX356" s="47"/>
      <c r="DY356" s="194"/>
      <c r="DZ356" s="47"/>
      <c r="EA356" s="47"/>
      <c r="EB356" s="194"/>
      <c r="EC356" s="47"/>
      <c r="ED356" s="195"/>
      <c r="EE356" s="195"/>
      <c r="EF356" s="195"/>
      <c r="EG356" s="195"/>
      <c r="EH356" s="195"/>
      <c r="EI356" s="196"/>
      <c r="EJ356" s="201"/>
      <c r="EK356" s="202"/>
      <c r="EL356" s="5"/>
      <c r="FA356" s="251">
        <f t="shared" si="20"/>
        <v>0</v>
      </c>
    </row>
    <row r="357" spans="1:157" s="1" customFormat="1" ht="20.149999999999999" customHeight="1" x14ac:dyDescent="0.35">
      <c r="A357" s="47"/>
      <c r="B357" s="393" t="s">
        <v>1350</v>
      </c>
      <c r="C357" s="380" t="s">
        <v>1614</v>
      </c>
      <c r="D357" s="382" t="s">
        <v>770</v>
      </c>
      <c r="E357" s="382" t="s">
        <v>1351</v>
      </c>
      <c r="F357" s="391" t="s">
        <v>1287</v>
      </c>
      <c r="G357" s="48" t="s">
        <v>32</v>
      </c>
      <c r="H357" s="57">
        <v>26.5</v>
      </c>
      <c r="I357" s="47"/>
      <c r="J357" s="47"/>
      <c r="K357" s="47"/>
      <c r="L357" s="47"/>
      <c r="M357" s="47"/>
      <c r="N357" s="194"/>
      <c r="O357" s="194"/>
      <c r="P357" s="194"/>
      <c r="Q357" s="194"/>
      <c r="R357" s="47"/>
      <c r="S357" s="194"/>
      <c r="T357" s="47"/>
      <c r="U357" s="194"/>
      <c r="V357" s="47"/>
      <c r="W357" s="194"/>
      <c r="X357" s="47"/>
      <c r="Y357" s="194"/>
      <c r="Z357" s="194"/>
      <c r="AA357" s="47"/>
      <c r="AB357" s="47"/>
      <c r="AC357" s="47"/>
      <c r="AD357" s="47"/>
      <c r="AE357" s="194"/>
      <c r="AF357" s="194"/>
      <c r="AG357" s="194"/>
      <c r="AH357" s="5"/>
      <c r="AI357" s="47"/>
      <c r="AJ357" s="198"/>
      <c r="AK357" s="47"/>
      <c r="AL357" s="47"/>
      <c r="AM357" s="47"/>
      <c r="AN357" s="47"/>
      <c r="AO357" s="47"/>
      <c r="AP357" s="194"/>
      <c r="AQ357" s="47"/>
      <c r="AR357" s="47"/>
      <c r="AS357" s="47"/>
      <c r="AT357" s="194"/>
      <c r="AU357" s="194"/>
      <c r="AV357" s="194"/>
      <c r="AW357" s="194"/>
      <c r="AX357" s="194"/>
      <c r="AY357" s="194"/>
      <c r="AZ357" s="194"/>
      <c r="BA357" s="194"/>
      <c r="BB357" s="194"/>
      <c r="BC357" s="194"/>
      <c r="BD357" s="194"/>
      <c r="BE357" s="194"/>
      <c r="BF357" s="194"/>
      <c r="BG357" s="194"/>
      <c r="BH357" s="194"/>
      <c r="BI357" s="194"/>
      <c r="BJ357" s="194"/>
      <c r="BK357" s="194"/>
      <c r="BL357" s="194"/>
      <c r="BM357" s="194"/>
      <c r="BN357" s="194"/>
      <c r="BO357" s="194"/>
      <c r="BP357" s="194"/>
      <c r="BQ357" s="47"/>
      <c r="BR357" s="194"/>
      <c r="BS357" s="47"/>
      <c r="BT357" s="47"/>
      <c r="BU357" s="47"/>
      <c r="BV357" s="47"/>
      <c r="BW357" s="47"/>
      <c r="BX357" s="194"/>
      <c r="BY357" s="194"/>
      <c r="BZ357" s="194"/>
      <c r="CA357" s="194"/>
      <c r="CB357" s="194"/>
      <c r="CC357" s="47"/>
      <c r="CD357" s="47"/>
      <c r="CE357" s="47"/>
      <c r="CF357" s="47"/>
      <c r="CG357" s="47"/>
      <c r="CH357" s="47"/>
      <c r="CI357" s="47">
        <v>34</v>
      </c>
      <c r="CJ357" s="47"/>
      <c r="CK357" s="47"/>
      <c r="CL357" s="194"/>
      <c r="CM357" s="47"/>
      <c r="CN357" s="47"/>
      <c r="CO357" s="47"/>
      <c r="CP357" s="47"/>
      <c r="CQ357" s="47"/>
      <c r="CR357" s="47"/>
      <c r="CS357" s="198"/>
      <c r="CT357" s="47"/>
      <c r="CU357" s="47"/>
      <c r="CV357" s="47"/>
      <c r="CW357" s="47"/>
      <c r="CX357" s="194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198"/>
      <c r="DX357" s="47"/>
      <c r="DY357" s="194"/>
      <c r="DZ357" s="47"/>
      <c r="EA357" s="47"/>
      <c r="EB357" s="194"/>
      <c r="EC357" s="47"/>
      <c r="ED357" s="195"/>
      <c r="EE357" s="195"/>
      <c r="EF357" s="195"/>
      <c r="EG357" s="195"/>
      <c r="EH357" s="195"/>
      <c r="EI357" s="196"/>
      <c r="EJ357" s="201"/>
      <c r="EK357" s="202"/>
      <c r="EL357" s="5"/>
      <c r="FA357" s="251">
        <f t="shared" si="20"/>
        <v>26.5</v>
      </c>
    </row>
    <row r="358" spans="1:157" s="1" customFormat="1" ht="20.149999999999999" customHeight="1" x14ac:dyDescent="0.35">
      <c r="A358" s="47"/>
      <c r="B358" s="189" t="s">
        <v>1376</v>
      </c>
      <c r="C358" s="47" t="s">
        <v>1615</v>
      </c>
      <c r="D358" s="2"/>
      <c r="E358" s="2" t="s">
        <v>711</v>
      </c>
      <c r="F358" s="48" t="s">
        <v>710</v>
      </c>
      <c r="G358" s="392" t="s">
        <v>32</v>
      </c>
      <c r="H358" s="328">
        <v>31.2</v>
      </c>
      <c r="I358" s="47"/>
      <c r="J358" s="47"/>
      <c r="K358" s="47"/>
      <c r="L358" s="47"/>
      <c r="M358" s="47"/>
      <c r="N358" s="194"/>
      <c r="O358" s="194"/>
      <c r="P358" s="194"/>
      <c r="Q358" s="194"/>
      <c r="R358" s="47"/>
      <c r="S358" s="194"/>
      <c r="T358" s="47"/>
      <c r="U358" s="194"/>
      <c r="V358" s="47"/>
      <c r="W358" s="194"/>
      <c r="X358" s="47"/>
      <c r="Y358" s="194"/>
      <c r="Z358" s="194"/>
      <c r="AA358" s="47"/>
      <c r="AB358" s="47"/>
      <c r="AC358" s="47"/>
      <c r="AD358" s="47"/>
      <c r="AE358" s="194"/>
      <c r="AF358" s="194"/>
      <c r="AG358" s="194"/>
      <c r="AH358" s="5"/>
      <c r="AI358" s="47"/>
      <c r="AJ358" s="198"/>
      <c r="AK358" s="47"/>
      <c r="AL358" s="47"/>
      <c r="AM358" s="47"/>
      <c r="AN358" s="47"/>
      <c r="AO358" s="47"/>
      <c r="AP358" s="194"/>
      <c r="AQ358" s="47"/>
      <c r="AR358" s="47"/>
      <c r="AS358" s="47"/>
      <c r="AT358" s="194"/>
      <c r="AU358" s="194"/>
      <c r="AV358" s="194"/>
      <c r="AW358" s="194"/>
      <c r="AX358" s="194"/>
      <c r="AY358" s="194"/>
      <c r="AZ358" s="194"/>
      <c r="BA358" s="194"/>
      <c r="BB358" s="194"/>
      <c r="BC358" s="194"/>
      <c r="BD358" s="194"/>
      <c r="BE358" s="194"/>
      <c r="BF358" s="194"/>
      <c r="BG358" s="194"/>
      <c r="BH358" s="194"/>
      <c r="BI358" s="194"/>
      <c r="BJ358" s="194"/>
      <c r="BK358" s="194"/>
      <c r="BL358" s="194"/>
      <c r="BM358" s="194"/>
      <c r="BN358" s="194"/>
      <c r="BO358" s="194"/>
      <c r="BP358" s="194"/>
      <c r="BQ358" s="47"/>
      <c r="BR358" s="194"/>
      <c r="BS358" s="47"/>
      <c r="BT358" s="47"/>
      <c r="BU358" s="47"/>
      <c r="BV358" s="47"/>
      <c r="BW358" s="47"/>
      <c r="BX358" s="194"/>
      <c r="BY358" s="194"/>
      <c r="BZ358" s="194"/>
      <c r="CA358" s="194"/>
      <c r="CB358" s="194"/>
      <c r="CC358" s="47"/>
      <c r="CD358" s="47"/>
      <c r="CE358" s="47"/>
      <c r="CF358" s="47"/>
      <c r="CG358" s="47"/>
      <c r="CH358" s="47"/>
      <c r="CI358" s="47">
        <v>38</v>
      </c>
      <c r="CJ358" s="47"/>
      <c r="CK358" s="47"/>
      <c r="CL358" s="194">
        <v>38</v>
      </c>
      <c r="CM358" s="47"/>
      <c r="CN358" s="47"/>
      <c r="CO358" s="47"/>
      <c r="CP358" s="47"/>
      <c r="CQ358" s="47"/>
      <c r="CR358" s="47"/>
      <c r="CS358" s="198"/>
      <c r="CT358" s="47"/>
      <c r="CU358" s="47"/>
      <c r="CV358" s="47"/>
      <c r="CW358" s="47"/>
      <c r="CX358" s="194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198"/>
      <c r="DX358" s="47"/>
      <c r="DY358" s="194"/>
      <c r="DZ358" s="47"/>
      <c r="EA358" s="47"/>
      <c r="EB358" s="194"/>
      <c r="EC358" s="47"/>
      <c r="ED358" s="195"/>
      <c r="EE358" s="195"/>
      <c r="EF358" s="195"/>
      <c r="EG358" s="195"/>
      <c r="EH358" s="195"/>
      <c r="EI358" s="196"/>
      <c r="EJ358" s="201"/>
      <c r="EK358" s="202"/>
      <c r="EL358" s="5"/>
      <c r="FA358" s="251">
        <f t="shared" si="20"/>
        <v>31.2</v>
      </c>
    </row>
    <row r="359" spans="1:157" s="1" customFormat="1" ht="20.149999999999999" customHeight="1" x14ac:dyDescent="0.35">
      <c r="A359" s="47"/>
      <c r="B359" s="394" t="s">
        <v>1463</v>
      </c>
      <c r="C359" s="373" t="s">
        <v>1407</v>
      </c>
      <c r="D359" s="374" t="s">
        <v>770</v>
      </c>
      <c r="E359" s="374" t="s">
        <v>1464</v>
      </c>
      <c r="F359" s="378" t="s">
        <v>1287</v>
      </c>
      <c r="G359" s="48" t="s">
        <v>32</v>
      </c>
      <c r="H359" s="328">
        <v>16</v>
      </c>
      <c r="I359" s="47"/>
      <c r="J359" s="47"/>
      <c r="K359" s="47"/>
      <c r="L359" s="47"/>
      <c r="M359" s="47"/>
      <c r="N359" s="194"/>
      <c r="O359" s="194"/>
      <c r="P359" s="194"/>
      <c r="Q359" s="194"/>
      <c r="R359" s="47"/>
      <c r="S359" s="194"/>
      <c r="T359" s="47"/>
      <c r="U359" s="194"/>
      <c r="V359" s="47"/>
      <c r="W359" s="194"/>
      <c r="X359" s="47"/>
      <c r="Y359" s="194"/>
      <c r="Z359" s="194"/>
      <c r="AA359" s="47"/>
      <c r="AB359" s="47"/>
      <c r="AC359" s="47"/>
      <c r="AD359" s="47"/>
      <c r="AE359" s="194"/>
      <c r="AF359" s="194"/>
      <c r="AG359" s="194"/>
      <c r="AH359" s="5"/>
      <c r="AI359" s="47"/>
      <c r="AJ359" s="198"/>
      <c r="AK359" s="47"/>
      <c r="AL359" s="47"/>
      <c r="AM359" s="47"/>
      <c r="AN359" s="47"/>
      <c r="AO359" s="47"/>
      <c r="AP359" s="194"/>
      <c r="AQ359" s="47"/>
      <c r="AR359" s="47"/>
      <c r="AS359" s="47"/>
      <c r="AT359" s="194">
        <v>20</v>
      </c>
      <c r="AU359" s="194"/>
      <c r="AV359" s="194"/>
      <c r="AW359" s="194"/>
      <c r="AX359" s="194"/>
      <c r="AY359" s="194"/>
      <c r="AZ359" s="194"/>
      <c r="BA359" s="194"/>
      <c r="BB359" s="194"/>
      <c r="BC359" s="194"/>
      <c r="BD359" s="194"/>
      <c r="BE359" s="194"/>
      <c r="BF359" s="194"/>
      <c r="BG359" s="194"/>
      <c r="BH359" s="194"/>
      <c r="BI359" s="194"/>
      <c r="BJ359" s="194"/>
      <c r="BK359" s="194"/>
      <c r="BL359" s="194"/>
      <c r="BM359" s="194"/>
      <c r="BN359" s="194"/>
      <c r="BO359" s="194"/>
      <c r="BP359" s="194"/>
      <c r="BQ359" s="47"/>
      <c r="BR359" s="194"/>
      <c r="BS359" s="47"/>
      <c r="BT359" s="47"/>
      <c r="BU359" s="47"/>
      <c r="BV359" s="47"/>
      <c r="BW359" s="47"/>
      <c r="BX359" s="194"/>
      <c r="BY359" s="194"/>
      <c r="BZ359" s="194"/>
      <c r="CA359" s="194"/>
      <c r="CB359" s="194"/>
      <c r="CC359" s="47"/>
      <c r="CD359" s="47"/>
      <c r="CE359" s="47"/>
      <c r="CF359" s="47"/>
      <c r="CG359" s="47"/>
      <c r="CH359" s="47"/>
      <c r="CI359" s="47"/>
      <c r="CJ359" s="47"/>
      <c r="CK359" s="47"/>
      <c r="CL359" s="194"/>
      <c r="CM359" s="47"/>
      <c r="CN359" s="47"/>
      <c r="CO359" s="47"/>
      <c r="CP359" s="47"/>
      <c r="CQ359" s="47"/>
      <c r="CR359" s="47"/>
      <c r="CS359" s="198"/>
      <c r="CT359" s="47"/>
      <c r="CU359" s="47"/>
      <c r="CV359" s="47"/>
      <c r="CW359" s="47"/>
      <c r="CX359" s="194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198"/>
      <c r="DX359" s="47"/>
      <c r="DY359" s="194"/>
      <c r="DZ359" s="47"/>
      <c r="EA359" s="47"/>
      <c r="EB359" s="194"/>
      <c r="EC359" s="47"/>
      <c r="ED359" s="195"/>
      <c r="EE359" s="195"/>
      <c r="EF359" s="195"/>
      <c r="EG359" s="195"/>
      <c r="EH359" s="195"/>
      <c r="EI359" s="196"/>
      <c r="EJ359" s="201"/>
      <c r="EK359" s="202"/>
      <c r="EL359" s="5"/>
      <c r="FA359" s="251">
        <f t="shared" si="20"/>
        <v>16</v>
      </c>
    </row>
    <row r="360" spans="1:157" s="1" customFormat="1" ht="20.149999999999999" customHeight="1" x14ac:dyDescent="0.35">
      <c r="A360" s="47"/>
      <c r="B360" s="380" t="s">
        <v>856</v>
      </c>
      <c r="C360" s="380" t="s">
        <v>1558</v>
      </c>
      <c r="D360" s="381" t="s">
        <v>770</v>
      </c>
      <c r="E360" s="382" t="s">
        <v>33</v>
      </c>
      <c r="F360" s="382" t="s">
        <v>812</v>
      </c>
      <c r="G360" s="2" t="s">
        <v>32</v>
      </c>
      <c r="H360" s="328">
        <v>28</v>
      </c>
      <c r="I360" s="47"/>
      <c r="J360" s="47"/>
      <c r="K360" s="47"/>
      <c r="L360" s="47"/>
      <c r="M360" s="47"/>
      <c r="N360" s="194"/>
      <c r="O360" s="194"/>
      <c r="P360" s="194"/>
      <c r="Q360" s="194"/>
      <c r="R360" s="47"/>
      <c r="S360" s="194"/>
      <c r="T360" s="47"/>
      <c r="U360" s="194"/>
      <c r="V360" s="47"/>
      <c r="W360" s="194"/>
      <c r="X360" s="47"/>
      <c r="Y360" s="194"/>
      <c r="Z360" s="194"/>
      <c r="AA360" s="47"/>
      <c r="AB360" s="47"/>
      <c r="AC360" s="47"/>
      <c r="AD360" s="47"/>
      <c r="AE360" s="194"/>
      <c r="AF360" s="194"/>
      <c r="AG360" s="194"/>
      <c r="AH360" s="5"/>
      <c r="AI360" s="47"/>
      <c r="AJ360" s="198"/>
      <c r="AK360" s="47"/>
      <c r="AL360" s="47"/>
      <c r="AM360" s="47"/>
      <c r="AN360" s="47"/>
      <c r="AO360" s="47"/>
      <c r="AP360" s="194"/>
      <c r="AQ360" s="47"/>
      <c r="AR360" s="47"/>
      <c r="AS360" s="47"/>
      <c r="AT360" s="194"/>
      <c r="AU360" s="194"/>
      <c r="AV360" s="194"/>
      <c r="AW360" s="194"/>
      <c r="AX360" s="194"/>
      <c r="AY360" s="194"/>
      <c r="AZ360" s="194"/>
      <c r="BA360" s="194"/>
      <c r="BB360" s="194"/>
      <c r="BC360" s="194"/>
      <c r="BD360" s="194"/>
      <c r="BE360" s="194"/>
      <c r="BF360" s="194"/>
      <c r="BG360" s="194"/>
      <c r="BH360" s="194"/>
      <c r="BI360" s="194"/>
      <c r="BJ360" s="194"/>
      <c r="BK360" s="194"/>
      <c r="BL360" s="194"/>
      <c r="BM360" s="194"/>
      <c r="BN360" s="194"/>
      <c r="BO360" s="194"/>
      <c r="BP360" s="194"/>
      <c r="BQ360" s="47"/>
      <c r="BR360" s="194"/>
      <c r="BS360" s="47"/>
      <c r="BT360" s="47"/>
      <c r="BU360" s="47"/>
      <c r="BV360" s="47"/>
      <c r="BW360" s="47"/>
      <c r="BX360" s="194"/>
      <c r="BY360" s="194"/>
      <c r="BZ360" s="194"/>
      <c r="CA360" s="194"/>
      <c r="CB360" s="194"/>
      <c r="CC360" s="47"/>
      <c r="CD360" s="47"/>
      <c r="CE360" s="47"/>
      <c r="CF360" s="47"/>
      <c r="CG360" s="47"/>
      <c r="CH360" s="47"/>
      <c r="CI360" s="47"/>
      <c r="CJ360" s="47"/>
      <c r="CK360" s="47"/>
      <c r="CL360" s="194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194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198"/>
      <c r="DX360" s="47"/>
      <c r="DY360" s="194"/>
      <c r="DZ360" s="47"/>
      <c r="EA360" s="47"/>
      <c r="EB360" s="194"/>
      <c r="EC360" s="47"/>
      <c r="ED360" s="195"/>
      <c r="EE360" s="195"/>
      <c r="EF360" s="195"/>
      <c r="EG360" s="195"/>
      <c r="EH360" s="195">
        <v>7</v>
      </c>
      <c r="EI360" s="196">
        <f t="shared" si="16"/>
        <v>196</v>
      </c>
      <c r="EJ360" s="201">
        <f t="shared" si="17"/>
        <v>35.56</v>
      </c>
      <c r="EK360" s="202">
        <v>0</v>
      </c>
      <c r="EL360" s="5"/>
      <c r="FA360" s="251">
        <f t="shared" si="20"/>
        <v>28</v>
      </c>
    </row>
    <row r="361" spans="1:157" s="1" customFormat="1" ht="20.149999999999999" customHeight="1" x14ac:dyDescent="0.35">
      <c r="A361" s="47"/>
      <c r="B361" s="47" t="s">
        <v>1075</v>
      </c>
      <c r="C361" s="380" t="s">
        <v>1558</v>
      </c>
      <c r="D361" s="252" t="s">
        <v>770</v>
      </c>
      <c r="E361" s="2" t="s">
        <v>33</v>
      </c>
      <c r="F361" s="2" t="s">
        <v>63</v>
      </c>
      <c r="G361" s="375" t="s">
        <v>35</v>
      </c>
      <c r="H361" s="328">
        <f>H360/6</f>
        <v>4.666666666666667</v>
      </c>
      <c r="I361" s="47"/>
      <c r="J361" s="47"/>
      <c r="K361" s="47"/>
      <c r="L361" s="47"/>
      <c r="M361" s="47"/>
      <c r="N361" s="194"/>
      <c r="O361" s="194"/>
      <c r="P361" s="194"/>
      <c r="Q361" s="194"/>
      <c r="R361" s="194">
        <v>7.5</v>
      </c>
      <c r="S361" s="194"/>
      <c r="T361" s="47"/>
      <c r="U361" s="194"/>
      <c r="V361" s="47"/>
      <c r="W361" s="194"/>
      <c r="X361" s="47"/>
      <c r="Y361" s="194"/>
      <c r="Z361" s="194"/>
      <c r="AA361" s="47"/>
      <c r="AB361" s="47"/>
      <c r="AC361" s="47"/>
      <c r="AD361" s="47"/>
      <c r="AE361" s="194"/>
      <c r="AF361" s="194"/>
      <c r="AG361" s="194"/>
      <c r="AH361" s="5"/>
      <c r="AI361" s="47"/>
      <c r="AJ361" s="223"/>
      <c r="AK361" s="47"/>
      <c r="AL361" s="47"/>
      <c r="AM361" s="47"/>
      <c r="AN361" s="47"/>
      <c r="AO361" s="47"/>
      <c r="AP361" s="194"/>
      <c r="AQ361" s="47">
        <v>7</v>
      </c>
      <c r="AR361" s="47"/>
      <c r="AS361" s="47"/>
      <c r="AT361" s="194"/>
      <c r="AU361" s="194"/>
      <c r="AV361" s="194"/>
      <c r="AW361" s="194"/>
      <c r="AX361" s="194"/>
      <c r="AY361" s="194"/>
      <c r="AZ361" s="194"/>
      <c r="BA361" s="194"/>
      <c r="BB361" s="194"/>
      <c r="BC361" s="194"/>
      <c r="BD361" s="194"/>
      <c r="BE361" s="194"/>
      <c r="BF361" s="194"/>
      <c r="BG361" s="194"/>
      <c r="BH361" s="194"/>
      <c r="BI361" s="194"/>
      <c r="BJ361" s="194"/>
      <c r="BK361" s="194"/>
      <c r="BL361" s="194"/>
      <c r="BM361" s="194">
        <v>7</v>
      </c>
      <c r="BN361" s="194"/>
      <c r="BO361" s="194"/>
      <c r="BP361" s="194"/>
      <c r="BQ361" s="47"/>
      <c r="BR361" s="194"/>
      <c r="BS361" s="47"/>
      <c r="BT361" s="47"/>
      <c r="BU361" s="47"/>
      <c r="BV361" s="47"/>
      <c r="BW361" s="47"/>
      <c r="BX361" s="194"/>
      <c r="BY361" s="194"/>
      <c r="BZ361" s="194"/>
      <c r="CA361" s="194"/>
      <c r="CB361" s="194"/>
      <c r="CC361" s="47"/>
      <c r="CD361" s="47"/>
      <c r="CE361" s="47"/>
      <c r="CF361" s="47"/>
      <c r="CG361" s="47">
        <v>7.5</v>
      </c>
      <c r="CH361" s="47"/>
      <c r="CI361" s="47">
        <v>7</v>
      </c>
      <c r="CJ361" s="47"/>
      <c r="CK361" s="224"/>
      <c r="CL361" s="194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>
        <v>7.5</v>
      </c>
      <c r="CW361" s="47"/>
      <c r="CX361" s="194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>
        <v>8</v>
      </c>
      <c r="DW361" s="198"/>
      <c r="DX361" s="47"/>
      <c r="DY361" s="194"/>
      <c r="DZ361" s="47"/>
      <c r="EA361" s="47"/>
      <c r="EB361" s="194"/>
      <c r="EC361" s="47"/>
      <c r="ED361" s="195"/>
      <c r="EE361" s="195">
        <v>6</v>
      </c>
      <c r="EF361" s="195"/>
      <c r="EG361" s="195">
        <v>7</v>
      </c>
      <c r="EH361" s="195">
        <v>2</v>
      </c>
      <c r="EI361" s="196">
        <f t="shared" si="16"/>
        <v>9.3333333333333339</v>
      </c>
      <c r="EJ361" s="201">
        <f t="shared" si="17"/>
        <v>5.9266666666666667</v>
      </c>
      <c r="EK361" s="202">
        <v>6.5</v>
      </c>
      <c r="EL361" s="5"/>
      <c r="FA361" s="251">
        <f t="shared" si="20"/>
        <v>4.666666666666667</v>
      </c>
    </row>
    <row r="362" spans="1:157" s="1" customFormat="1" ht="20.149999999999999" customHeight="1" x14ac:dyDescent="0.35">
      <c r="A362" s="47"/>
      <c r="B362" s="383" t="s">
        <v>1076</v>
      </c>
      <c r="C362" s="383" t="s">
        <v>187</v>
      </c>
      <c r="D362" s="384" t="s">
        <v>770</v>
      </c>
      <c r="E362" s="385" t="s">
        <v>54</v>
      </c>
      <c r="F362" s="385" t="s">
        <v>813</v>
      </c>
      <c r="G362" s="2" t="s">
        <v>37</v>
      </c>
      <c r="H362" s="328">
        <f>H363*6</f>
        <v>72</v>
      </c>
      <c r="I362" s="47"/>
      <c r="J362" s="47"/>
      <c r="K362" s="47"/>
      <c r="L362" s="47"/>
      <c r="M362" s="47"/>
      <c r="N362" s="194"/>
      <c r="O362" s="194"/>
      <c r="P362" s="194"/>
      <c r="Q362" s="194"/>
      <c r="R362" s="47"/>
      <c r="S362" s="194"/>
      <c r="T362" s="47"/>
      <c r="U362" s="194"/>
      <c r="V362" s="47"/>
      <c r="W362" s="194"/>
      <c r="X362" s="47"/>
      <c r="Y362" s="194"/>
      <c r="Z362" s="194"/>
      <c r="AA362" s="47"/>
      <c r="AB362" s="47"/>
      <c r="AC362" s="47"/>
      <c r="AD362" s="47"/>
      <c r="AE362" s="194"/>
      <c r="AF362" s="194"/>
      <c r="AG362" s="194"/>
      <c r="AH362" s="5"/>
      <c r="AI362" s="47"/>
      <c r="AJ362" s="223"/>
      <c r="AK362" s="47"/>
      <c r="AL362" s="47"/>
      <c r="AM362" s="47"/>
      <c r="AN362" s="47"/>
      <c r="AO362" s="47"/>
      <c r="AP362" s="194"/>
      <c r="AQ362" s="47"/>
      <c r="AR362" s="47"/>
      <c r="AS362" s="47"/>
      <c r="AT362" s="194"/>
      <c r="AU362" s="194"/>
      <c r="AV362" s="194"/>
      <c r="AW362" s="194"/>
      <c r="AX362" s="194"/>
      <c r="AY362" s="194"/>
      <c r="AZ362" s="194"/>
      <c r="BA362" s="194"/>
      <c r="BB362" s="194"/>
      <c r="BC362" s="194"/>
      <c r="BD362" s="194"/>
      <c r="BE362" s="194"/>
      <c r="BF362" s="194"/>
      <c r="BG362" s="194"/>
      <c r="BH362" s="194"/>
      <c r="BI362" s="194"/>
      <c r="BJ362" s="194"/>
      <c r="BK362" s="194"/>
      <c r="BL362" s="194"/>
      <c r="BM362" s="194"/>
      <c r="BN362" s="194"/>
      <c r="BO362" s="194"/>
      <c r="BP362" s="194"/>
      <c r="BQ362" s="47"/>
      <c r="BR362" s="194"/>
      <c r="BS362" s="47"/>
      <c r="BT362" s="47"/>
      <c r="BU362" s="47"/>
      <c r="BV362" s="47"/>
      <c r="BW362" s="47"/>
      <c r="BX362" s="194"/>
      <c r="BY362" s="194"/>
      <c r="BZ362" s="194"/>
      <c r="CA362" s="194"/>
      <c r="CB362" s="194"/>
      <c r="CC362" s="47"/>
      <c r="CD362" s="47"/>
      <c r="CE362" s="47"/>
      <c r="CF362" s="47"/>
      <c r="CG362" s="47"/>
      <c r="CH362" s="47"/>
      <c r="CI362" s="47"/>
      <c r="CJ362" s="47"/>
      <c r="CK362" s="224"/>
      <c r="CL362" s="194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194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198"/>
      <c r="DX362" s="47"/>
      <c r="DY362" s="194"/>
      <c r="DZ362" s="47"/>
      <c r="EA362" s="47"/>
      <c r="EB362" s="194"/>
      <c r="EC362" s="47"/>
      <c r="ED362" s="195"/>
      <c r="EE362" s="195"/>
      <c r="EF362" s="195"/>
      <c r="EG362" s="195"/>
      <c r="EH362" s="195">
        <v>12</v>
      </c>
      <c r="EI362" s="196">
        <f t="shared" ref="EI362:EI439" si="21">H362*EH362</f>
        <v>864</v>
      </c>
      <c r="EJ362" s="201">
        <f t="shared" ref="EJ362:EJ435" si="22">H362*1.27</f>
        <v>91.44</v>
      </c>
      <c r="EK362" s="202">
        <v>0</v>
      </c>
      <c r="EL362" s="5"/>
      <c r="FA362" s="251">
        <f t="shared" si="20"/>
        <v>72</v>
      </c>
    </row>
    <row r="363" spans="1:157" s="1" customFormat="1" ht="20.149999999999999" customHeight="1" x14ac:dyDescent="0.35">
      <c r="A363" s="2"/>
      <c r="B363" s="47" t="s">
        <v>1077</v>
      </c>
      <c r="C363" s="47" t="s">
        <v>187</v>
      </c>
      <c r="D363" s="252" t="s">
        <v>770</v>
      </c>
      <c r="E363" s="2" t="s">
        <v>54</v>
      </c>
      <c r="F363" s="2" t="s">
        <v>303</v>
      </c>
      <c r="G363" s="375" t="s">
        <v>37</v>
      </c>
      <c r="H363" s="328">
        <v>12</v>
      </c>
      <c r="I363" s="47"/>
      <c r="J363" s="47"/>
      <c r="K363" s="47"/>
      <c r="L363" s="47">
        <v>16.5</v>
      </c>
      <c r="M363" s="47">
        <v>16.5</v>
      </c>
      <c r="N363" s="194"/>
      <c r="O363" s="194"/>
      <c r="P363" s="194"/>
      <c r="Q363" s="194"/>
      <c r="R363" s="194"/>
      <c r="S363" s="194"/>
      <c r="T363" s="47"/>
      <c r="U363" s="194"/>
      <c r="V363" s="47"/>
      <c r="W363" s="194"/>
      <c r="X363" s="47">
        <v>16.5</v>
      </c>
      <c r="Y363" s="194"/>
      <c r="Z363" s="194"/>
      <c r="AA363" s="47"/>
      <c r="AB363" s="47"/>
      <c r="AC363" s="47"/>
      <c r="AD363" s="47">
        <v>16.5</v>
      </c>
      <c r="AE363" s="194"/>
      <c r="AF363" s="194"/>
      <c r="AG363" s="194"/>
      <c r="AH363" s="5"/>
      <c r="AI363" s="47"/>
      <c r="AJ363" s="223"/>
      <c r="AK363" s="47"/>
      <c r="AL363" s="47"/>
      <c r="AM363" s="47"/>
      <c r="AN363" s="47"/>
      <c r="AO363" s="47"/>
      <c r="AP363" s="194"/>
      <c r="AQ363" s="47"/>
      <c r="AR363" s="47">
        <v>16.5</v>
      </c>
      <c r="AS363" s="47">
        <v>16.5</v>
      </c>
      <c r="AT363" s="194">
        <v>16.5</v>
      </c>
      <c r="AU363" s="194"/>
      <c r="AV363" s="194"/>
      <c r="AW363" s="194"/>
      <c r="AX363" s="194"/>
      <c r="AY363" s="194"/>
      <c r="AZ363" s="194"/>
      <c r="BA363" s="194"/>
      <c r="BB363" s="194"/>
      <c r="BC363" s="194"/>
      <c r="BD363" s="194"/>
      <c r="BE363" s="194"/>
      <c r="BF363" s="194"/>
      <c r="BG363" s="194"/>
      <c r="BH363" s="194"/>
      <c r="BI363" s="194"/>
      <c r="BJ363" s="194"/>
      <c r="BK363" s="194"/>
      <c r="BL363" s="194"/>
      <c r="BM363" s="194">
        <v>17.5</v>
      </c>
      <c r="BN363" s="194">
        <v>17</v>
      </c>
      <c r="BO363" s="194"/>
      <c r="BP363" s="194"/>
      <c r="BQ363" s="47"/>
      <c r="BR363" s="194"/>
      <c r="BS363" s="47">
        <v>17.5</v>
      </c>
      <c r="BT363" s="47">
        <v>17</v>
      </c>
      <c r="BU363" s="47">
        <v>16.5</v>
      </c>
      <c r="BV363" s="47"/>
      <c r="BW363" s="47"/>
      <c r="BX363" s="194">
        <v>16.5</v>
      </c>
      <c r="BY363" s="194"/>
      <c r="BZ363" s="194">
        <v>16.5</v>
      </c>
      <c r="CA363" s="194"/>
      <c r="CB363" s="194"/>
      <c r="CC363" s="47"/>
      <c r="CD363" s="47"/>
      <c r="CE363" s="47"/>
      <c r="CF363" s="47"/>
      <c r="CG363" s="47">
        <v>16.5</v>
      </c>
      <c r="CH363" s="47"/>
      <c r="CI363" s="47"/>
      <c r="CJ363" s="47"/>
      <c r="CK363" s="194"/>
      <c r="CL363" s="194">
        <v>16.5</v>
      </c>
      <c r="CM363" s="47"/>
      <c r="CN363" s="47"/>
      <c r="CO363" s="47"/>
      <c r="CP363" s="47">
        <v>17</v>
      </c>
      <c r="CQ363" s="47">
        <v>16.5</v>
      </c>
      <c r="CR363" s="47"/>
      <c r="CS363" s="198">
        <v>17.5</v>
      </c>
      <c r="CT363" s="47"/>
      <c r="CU363" s="47"/>
      <c r="CV363" s="47">
        <v>17.5</v>
      </c>
      <c r="CW363" s="47"/>
      <c r="CX363" s="194">
        <v>17</v>
      </c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>
        <v>17</v>
      </c>
      <c r="DK363" s="47"/>
      <c r="DL363" s="47"/>
      <c r="DM363" s="47"/>
      <c r="DN363" s="47"/>
      <c r="DO363" s="47"/>
      <c r="DP363" s="47"/>
      <c r="DQ363" s="47"/>
      <c r="DR363" s="47"/>
      <c r="DS363" s="47">
        <v>14</v>
      </c>
      <c r="DT363" s="47"/>
      <c r="DU363" s="47"/>
      <c r="DV363" s="198">
        <v>13</v>
      </c>
      <c r="DW363" s="198"/>
      <c r="DX363" s="47"/>
      <c r="DY363" s="194"/>
      <c r="DZ363" s="47"/>
      <c r="EA363" s="47"/>
      <c r="EB363" s="194"/>
      <c r="EC363" s="47"/>
      <c r="ED363" s="195"/>
      <c r="EE363" s="195"/>
      <c r="EF363" s="195"/>
      <c r="EG363" s="195">
        <v>13.5</v>
      </c>
      <c r="EH363" s="195">
        <v>0</v>
      </c>
      <c r="EI363" s="196">
        <f t="shared" si="21"/>
        <v>0</v>
      </c>
      <c r="EJ363" s="201">
        <f t="shared" si="22"/>
        <v>15.24</v>
      </c>
      <c r="EK363" s="202">
        <v>13</v>
      </c>
      <c r="EL363" s="5"/>
      <c r="FA363" s="251">
        <f t="shared" si="20"/>
        <v>12</v>
      </c>
    </row>
    <row r="364" spans="1:157" s="1" customFormat="1" ht="20.149999999999999" customHeight="1" x14ac:dyDescent="0.35">
      <c r="A364" s="2"/>
      <c r="B364" s="373" t="s">
        <v>1334</v>
      </c>
      <c r="C364" s="373" t="s">
        <v>187</v>
      </c>
      <c r="D364" s="386" t="s">
        <v>770</v>
      </c>
      <c r="E364" s="374" t="s">
        <v>770</v>
      </c>
      <c r="F364" s="374" t="s">
        <v>303</v>
      </c>
      <c r="G364" s="2" t="s">
        <v>37</v>
      </c>
      <c r="H364" s="328">
        <v>12</v>
      </c>
      <c r="I364" s="47"/>
      <c r="J364" s="47"/>
      <c r="K364" s="47"/>
      <c r="L364" s="47"/>
      <c r="M364" s="47"/>
      <c r="N364" s="194"/>
      <c r="O364" s="194"/>
      <c r="P364" s="194"/>
      <c r="Q364" s="194"/>
      <c r="R364" s="194"/>
      <c r="S364" s="194"/>
      <c r="T364" s="47"/>
      <c r="U364" s="194"/>
      <c r="V364" s="47"/>
      <c r="W364" s="194"/>
      <c r="X364" s="47"/>
      <c r="Y364" s="194"/>
      <c r="Z364" s="194"/>
      <c r="AA364" s="47"/>
      <c r="AB364" s="47"/>
      <c r="AC364" s="47"/>
      <c r="AD364" s="47"/>
      <c r="AE364" s="194"/>
      <c r="AF364" s="194"/>
      <c r="AG364" s="194"/>
      <c r="AH364" s="5"/>
      <c r="AI364" s="47"/>
      <c r="AJ364" s="223"/>
      <c r="AK364" s="47"/>
      <c r="AL364" s="47"/>
      <c r="AM364" s="47"/>
      <c r="AN364" s="47"/>
      <c r="AO364" s="47"/>
      <c r="AP364" s="194"/>
      <c r="AQ364" s="47"/>
      <c r="AR364" s="47"/>
      <c r="AS364" s="47"/>
      <c r="AT364" s="194"/>
      <c r="AU364" s="194"/>
      <c r="AV364" s="194"/>
      <c r="AW364" s="194"/>
      <c r="AX364" s="194"/>
      <c r="AY364" s="194"/>
      <c r="AZ364" s="194"/>
      <c r="BA364" s="194"/>
      <c r="BB364" s="194"/>
      <c r="BC364" s="194"/>
      <c r="BD364" s="194"/>
      <c r="BE364" s="194"/>
      <c r="BF364" s="194"/>
      <c r="BG364" s="194"/>
      <c r="BH364" s="194"/>
      <c r="BI364" s="194"/>
      <c r="BJ364" s="194"/>
      <c r="BK364" s="194"/>
      <c r="BL364" s="194"/>
      <c r="BM364" s="194"/>
      <c r="BN364" s="194"/>
      <c r="BO364" s="194"/>
      <c r="BP364" s="194"/>
      <c r="BQ364" s="47"/>
      <c r="BR364" s="194"/>
      <c r="BS364" s="47"/>
      <c r="BT364" s="47"/>
      <c r="BU364" s="47"/>
      <c r="BV364" s="47"/>
      <c r="BW364" s="47"/>
      <c r="BX364" s="194"/>
      <c r="BY364" s="194"/>
      <c r="BZ364" s="194"/>
      <c r="CA364" s="194"/>
      <c r="CB364" s="194"/>
      <c r="CC364" s="47"/>
      <c r="CD364" s="47"/>
      <c r="CE364" s="47"/>
      <c r="CF364" s="47"/>
      <c r="CG364" s="47"/>
      <c r="CH364" s="47"/>
      <c r="CI364" s="47"/>
      <c r="CJ364" s="47"/>
      <c r="CK364" s="194"/>
      <c r="CL364" s="194"/>
      <c r="CM364" s="47"/>
      <c r="CN364" s="47"/>
      <c r="CO364" s="47"/>
      <c r="CP364" s="47"/>
      <c r="CQ364" s="47"/>
      <c r="CR364" s="47"/>
      <c r="CS364" s="198"/>
      <c r="CT364" s="47"/>
      <c r="CU364" s="47"/>
      <c r="CV364" s="47"/>
      <c r="CW364" s="47"/>
      <c r="CX364" s="194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198"/>
      <c r="DW364" s="198"/>
      <c r="DX364" s="47"/>
      <c r="DY364" s="194"/>
      <c r="DZ364" s="47"/>
      <c r="EA364" s="47"/>
      <c r="EB364" s="194"/>
      <c r="EC364" s="47"/>
      <c r="ED364" s="195"/>
      <c r="EE364" s="195"/>
      <c r="EF364" s="195"/>
      <c r="EG364" s="195"/>
      <c r="EH364" s="195"/>
      <c r="EI364" s="196"/>
      <c r="EJ364" s="201"/>
      <c r="EK364" s="202"/>
      <c r="EL364" s="5"/>
      <c r="FA364" s="251">
        <f t="shared" si="20"/>
        <v>12</v>
      </c>
    </row>
    <row r="365" spans="1:157" s="1" customFormat="1" ht="20.149999999999999" customHeight="1" x14ac:dyDescent="0.35">
      <c r="A365" s="2"/>
      <c r="B365" s="189" t="s">
        <v>1469</v>
      </c>
      <c r="C365" s="47" t="s">
        <v>187</v>
      </c>
      <c r="D365" s="2" t="s">
        <v>770</v>
      </c>
      <c r="E365" s="2" t="s">
        <v>54</v>
      </c>
      <c r="F365" s="48" t="s">
        <v>31</v>
      </c>
      <c r="G365" s="48" t="s">
        <v>37</v>
      </c>
      <c r="H365" s="328">
        <v>2</v>
      </c>
      <c r="I365" s="47"/>
      <c r="J365" s="47"/>
      <c r="K365" s="47"/>
      <c r="L365" s="47"/>
      <c r="M365" s="47"/>
      <c r="N365" s="194"/>
      <c r="O365" s="194"/>
      <c r="P365" s="194"/>
      <c r="Q365" s="194"/>
      <c r="R365" s="194"/>
      <c r="S365" s="194"/>
      <c r="T365" s="47"/>
      <c r="U365" s="194"/>
      <c r="V365" s="47"/>
      <c r="W365" s="194">
        <v>2.8</v>
      </c>
      <c r="X365" s="47"/>
      <c r="Y365" s="194"/>
      <c r="Z365" s="194"/>
      <c r="AA365" s="47"/>
      <c r="AB365" s="47"/>
      <c r="AC365" s="47"/>
      <c r="AD365" s="47"/>
      <c r="AE365" s="194"/>
      <c r="AF365" s="194"/>
      <c r="AG365" s="194"/>
      <c r="AH365" s="5"/>
      <c r="AI365" s="47"/>
      <c r="AJ365" s="223"/>
      <c r="AK365" s="47"/>
      <c r="AL365" s="47"/>
      <c r="AM365" s="47"/>
      <c r="AN365" s="47"/>
      <c r="AO365" s="47"/>
      <c r="AP365" s="194"/>
      <c r="AQ365" s="47"/>
      <c r="AR365" s="47"/>
      <c r="AS365" s="47"/>
      <c r="AT365" s="194"/>
      <c r="AU365" s="194"/>
      <c r="AV365" s="194"/>
      <c r="AW365" s="194"/>
      <c r="AX365" s="194"/>
      <c r="AY365" s="194"/>
      <c r="AZ365" s="194"/>
      <c r="BA365" s="194"/>
      <c r="BB365" s="194"/>
      <c r="BC365" s="194"/>
      <c r="BD365" s="194"/>
      <c r="BE365" s="194"/>
      <c r="BF365" s="194"/>
      <c r="BG365" s="194"/>
      <c r="BH365" s="194"/>
      <c r="BI365" s="194"/>
      <c r="BJ365" s="194"/>
      <c r="BK365" s="194"/>
      <c r="BL365" s="194"/>
      <c r="BM365" s="194"/>
      <c r="BN365" s="194"/>
      <c r="BO365" s="194"/>
      <c r="BP365" s="194"/>
      <c r="BQ365" s="47"/>
      <c r="BR365" s="194"/>
      <c r="BS365" s="47"/>
      <c r="BT365" s="47"/>
      <c r="BU365" s="47"/>
      <c r="BV365" s="47"/>
      <c r="BW365" s="47"/>
      <c r="BX365" s="194"/>
      <c r="BY365" s="194"/>
      <c r="BZ365" s="194"/>
      <c r="CA365" s="194"/>
      <c r="CB365" s="194"/>
      <c r="CC365" s="47"/>
      <c r="CD365" s="47"/>
      <c r="CE365" s="47"/>
      <c r="CF365" s="47"/>
      <c r="CG365" s="47"/>
      <c r="CH365" s="47"/>
      <c r="CI365" s="47"/>
      <c r="CJ365" s="47"/>
      <c r="CK365" s="194"/>
      <c r="CL365" s="194"/>
      <c r="CM365" s="47"/>
      <c r="CN365" s="47"/>
      <c r="CO365" s="47"/>
      <c r="CP365" s="47"/>
      <c r="CQ365" s="47"/>
      <c r="CR365" s="47"/>
      <c r="CS365" s="198"/>
      <c r="CT365" s="47"/>
      <c r="CU365" s="47"/>
      <c r="CV365" s="47"/>
      <c r="CW365" s="47"/>
      <c r="CX365" s="194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198"/>
      <c r="DW365" s="198"/>
      <c r="DX365" s="47"/>
      <c r="DY365" s="194"/>
      <c r="DZ365" s="47"/>
      <c r="EA365" s="47"/>
      <c r="EB365" s="194"/>
      <c r="EC365" s="47"/>
      <c r="ED365" s="195"/>
      <c r="EE365" s="195"/>
      <c r="EF365" s="195"/>
      <c r="EG365" s="195"/>
      <c r="EH365" s="195"/>
      <c r="EI365" s="196"/>
      <c r="EJ365" s="201"/>
      <c r="EK365" s="202"/>
      <c r="EL365" s="5"/>
      <c r="FA365" s="251">
        <f>H365</f>
        <v>2</v>
      </c>
    </row>
    <row r="366" spans="1:157" s="1" customFormat="1" ht="20.149999999999999" customHeight="1" x14ac:dyDescent="0.35">
      <c r="A366" s="2"/>
      <c r="B366" s="380" t="s">
        <v>1078</v>
      </c>
      <c r="C366" s="380" t="s">
        <v>188</v>
      </c>
      <c r="D366" s="381" t="s">
        <v>770</v>
      </c>
      <c r="E366" s="382" t="s">
        <v>54</v>
      </c>
      <c r="F366" s="382" t="s">
        <v>813</v>
      </c>
      <c r="G366" s="2" t="s">
        <v>37</v>
      </c>
      <c r="H366" s="328">
        <f>H367*6</f>
        <v>72</v>
      </c>
      <c r="I366" s="47"/>
      <c r="J366" s="47"/>
      <c r="K366" s="47"/>
      <c r="L366" s="47"/>
      <c r="M366" s="47"/>
      <c r="N366" s="194"/>
      <c r="O366" s="194"/>
      <c r="P366" s="194"/>
      <c r="Q366" s="194"/>
      <c r="R366" s="47"/>
      <c r="S366" s="194"/>
      <c r="T366" s="47"/>
      <c r="U366" s="194"/>
      <c r="V366" s="47"/>
      <c r="W366" s="194"/>
      <c r="X366" s="47"/>
      <c r="Y366" s="194"/>
      <c r="Z366" s="194"/>
      <c r="AA366" s="47"/>
      <c r="AB366" s="47"/>
      <c r="AC366" s="47"/>
      <c r="AD366" s="47"/>
      <c r="AE366" s="194"/>
      <c r="AF366" s="194"/>
      <c r="AG366" s="194"/>
      <c r="AH366" s="5"/>
      <c r="AI366" s="47"/>
      <c r="AJ366" s="223"/>
      <c r="AK366" s="47"/>
      <c r="AL366" s="47"/>
      <c r="AM366" s="47"/>
      <c r="AN366" s="47"/>
      <c r="AO366" s="47"/>
      <c r="AP366" s="194"/>
      <c r="AQ366" s="47"/>
      <c r="AR366" s="47"/>
      <c r="AS366" s="47"/>
      <c r="AT366" s="194"/>
      <c r="AU366" s="194"/>
      <c r="AV366" s="194"/>
      <c r="AW366" s="194"/>
      <c r="AX366" s="194"/>
      <c r="AY366" s="194"/>
      <c r="AZ366" s="194"/>
      <c r="BA366" s="194"/>
      <c r="BB366" s="194"/>
      <c r="BC366" s="194"/>
      <c r="BD366" s="194"/>
      <c r="BE366" s="194"/>
      <c r="BF366" s="194"/>
      <c r="BG366" s="194"/>
      <c r="BH366" s="194"/>
      <c r="BI366" s="194"/>
      <c r="BJ366" s="194"/>
      <c r="BK366" s="194"/>
      <c r="BL366" s="194"/>
      <c r="BM366" s="194"/>
      <c r="BN366" s="194"/>
      <c r="BO366" s="194"/>
      <c r="BP366" s="194"/>
      <c r="BQ366" s="47"/>
      <c r="BR366" s="194"/>
      <c r="BS366" s="47"/>
      <c r="BT366" s="47"/>
      <c r="BU366" s="47"/>
      <c r="BV366" s="47"/>
      <c r="BW366" s="47"/>
      <c r="BX366" s="194"/>
      <c r="BY366" s="194"/>
      <c r="BZ366" s="194"/>
      <c r="CA366" s="194"/>
      <c r="CB366" s="194"/>
      <c r="CC366" s="47"/>
      <c r="CD366" s="47"/>
      <c r="CE366" s="47"/>
      <c r="CF366" s="47"/>
      <c r="CG366" s="47"/>
      <c r="CH366" s="47"/>
      <c r="CI366" s="47"/>
      <c r="CJ366" s="47"/>
      <c r="CK366" s="194"/>
      <c r="CL366" s="194"/>
      <c r="CM366" s="47"/>
      <c r="CN366" s="47"/>
      <c r="CO366" s="47"/>
      <c r="CP366" s="47"/>
      <c r="CQ366" s="47"/>
      <c r="CR366" s="47"/>
      <c r="CS366" s="198"/>
      <c r="CT366" s="47"/>
      <c r="CU366" s="47"/>
      <c r="CV366" s="47"/>
      <c r="CW366" s="47"/>
      <c r="CX366" s="194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198"/>
      <c r="DW366" s="198"/>
      <c r="DX366" s="47"/>
      <c r="DY366" s="194"/>
      <c r="DZ366" s="47"/>
      <c r="EA366" s="47"/>
      <c r="EB366" s="194"/>
      <c r="EC366" s="47"/>
      <c r="ED366" s="195"/>
      <c r="EE366" s="195"/>
      <c r="EF366" s="195"/>
      <c r="EG366" s="195"/>
      <c r="EH366" s="195"/>
      <c r="EI366" s="196"/>
      <c r="EJ366" s="201">
        <f t="shared" si="22"/>
        <v>91.44</v>
      </c>
      <c r="EK366" s="202">
        <v>0</v>
      </c>
      <c r="EL366" s="5"/>
      <c r="FA366" s="251">
        <f t="shared" si="20"/>
        <v>72</v>
      </c>
    </row>
    <row r="367" spans="1:157" s="1" customFormat="1" ht="20.149999999999999" customHeight="1" x14ac:dyDescent="0.35">
      <c r="A367" s="2"/>
      <c r="B367" s="47" t="s">
        <v>1079</v>
      </c>
      <c r="C367" s="47" t="s">
        <v>188</v>
      </c>
      <c r="D367" s="252" t="s">
        <v>770</v>
      </c>
      <c r="E367" s="2" t="s">
        <v>54</v>
      </c>
      <c r="F367" s="2" t="s">
        <v>303</v>
      </c>
      <c r="G367" s="375" t="s">
        <v>37</v>
      </c>
      <c r="H367" s="328">
        <v>12</v>
      </c>
      <c r="I367" s="47"/>
      <c r="J367" s="47"/>
      <c r="K367" s="47"/>
      <c r="L367" s="47"/>
      <c r="M367" s="47">
        <v>16.5</v>
      </c>
      <c r="N367" s="194"/>
      <c r="O367" s="194"/>
      <c r="P367" s="194"/>
      <c r="Q367" s="194"/>
      <c r="R367" s="47"/>
      <c r="S367" s="194"/>
      <c r="T367" s="47"/>
      <c r="U367" s="194"/>
      <c r="V367" s="47"/>
      <c r="W367" s="194"/>
      <c r="X367" s="47">
        <v>16.5</v>
      </c>
      <c r="Y367" s="194"/>
      <c r="Z367" s="194"/>
      <c r="AA367" s="47"/>
      <c r="AB367" s="47"/>
      <c r="AC367" s="47"/>
      <c r="AD367" s="47"/>
      <c r="AE367" s="194"/>
      <c r="AF367" s="194"/>
      <c r="AG367" s="194"/>
      <c r="AH367" s="5"/>
      <c r="AI367" s="47"/>
      <c r="AJ367" s="223"/>
      <c r="AK367" s="47"/>
      <c r="AL367" s="47"/>
      <c r="AM367" s="47"/>
      <c r="AN367" s="47"/>
      <c r="AO367" s="47"/>
      <c r="AP367" s="194"/>
      <c r="AQ367" s="47">
        <v>13</v>
      </c>
      <c r="AR367" s="47"/>
      <c r="AS367" s="47"/>
      <c r="AT367" s="194">
        <v>16.5</v>
      </c>
      <c r="AU367" s="194"/>
      <c r="AV367" s="194"/>
      <c r="AW367" s="194"/>
      <c r="AX367" s="194"/>
      <c r="AY367" s="194"/>
      <c r="AZ367" s="194"/>
      <c r="BA367" s="194"/>
      <c r="BB367" s="194"/>
      <c r="BC367" s="194"/>
      <c r="BD367" s="194"/>
      <c r="BE367" s="194"/>
      <c r="BF367" s="194"/>
      <c r="BG367" s="194"/>
      <c r="BH367" s="194"/>
      <c r="BI367" s="194"/>
      <c r="BJ367" s="194"/>
      <c r="BK367" s="194"/>
      <c r="BL367" s="194"/>
      <c r="BM367" s="194">
        <v>17.5</v>
      </c>
      <c r="BN367" s="194"/>
      <c r="BO367" s="194"/>
      <c r="BP367" s="194"/>
      <c r="BQ367" s="47"/>
      <c r="BR367" s="194"/>
      <c r="BS367" s="47">
        <v>16.5</v>
      </c>
      <c r="BT367" s="47"/>
      <c r="BU367" s="47"/>
      <c r="BV367" s="47"/>
      <c r="BW367" s="47"/>
      <c r="BX367" s="194"/>
      <c r="BY367" s="194"/>
      <c r="BZ367" s="194"/>
      <c r="CA367" s="194"/>
      <c r="CB367" s="194"/>
      <c r="CC367" s="47"/>
      <c r="CD367" s="47"/>
      <c r="CE367" s="47"/>
      <c r="CF367" s="47"/>
      <c r="CG367" s="47">
        <v>16.5</v>
      </c>
      <c r="CH367" s="47"/>
      <c r="CI367" s="47"/>
      <c r="CJ367" s="47"/>
      <c r="CK367" s="194"/>
      <c r="CL367" s="194">
        <v>16.5</v>
      </c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194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198"/>
      <c r="DX367" s="47"/>
      <c r="DY367" s="194"/>
      <c r="DZ367" s="47"/>
      <c r="EA367" s="47"/>
      <c r="EB367" s="194"/>
      <c r="EC367" s="47"/>
      <c r="ED367" s="195"/>
      <c r="EE367" s="195"/>
      <c r="EF367" s="195"/>
      <c r="EG367" s="195"/>
      <c r="EH367" s="195">
        <v>6</v>
      </c>
      <c r="EI367" s="196">
        <f t="shared" si="21"/>
        <v>72</v>
      </c>
      <c r="EJ367" s="201">
        <f t="shared" si="22"/>
        <v>15.24</v>
      </c>
      <c r="EK367" s="202">
        <v>13</v>
      </c>
      <c r="EL367" s="5"/>
      <c r="FA367" s="251">
        <f t="shared" si="20"/>
        <v>12</v>
      </c>
    </row>
    <row r="368" spans="1:157" s="1" customFormat="1" ht="20.149999999999999" customHeight="1" x14ac:dyDescent="0.35">
      <c r="A368" s="2"/>
      <c r="B368" s="373"/>
      <c r="C368" s="373"/>
      <c r="D368" s="387"/>
      <c r="E368" s="377"/>
      <c r="F368" s="374"/>
      <c r="G368" s="2"/>
      <c r="H368" s="223"/>
      <c r="I368" s="47"/>
      <c r="J368" s="47"/>
      <c r="K368" s="47"/>
      <c r="L368" s="47"/>
      <c r="M368" s="47"/>
      <c r="N368" s="194"/>
      <c r="O368" s="194"/>
      <c r="P368" s="194"/>
      <c r="Q368" s="194"/>
      <c r="R368" s="47"/>
      <c r="S368" s="194"/>
      <c r="T368" s="47"/>
      <c r="U368" s="194"/>
      <c r="V368" s="47"/>
      <c r="W368" s="194"/>
      <c r="X368" s="47"/>
      <c r="Y368" s="194"/>
      <c r="Z368" s="194"/>
      <c r="AA368" s="47"/>
      <c r="AB368" s="47"/>
      <c r="AC368" s="47"/>
      <c r="AD368" s="47"/>
      <c r="AE368" s="194"/>
      <c r="AF368" s="194"/>
      <c r="AG368" s="194"/>
      <c r="AH368" s="5"/>
      <c r="AI368" s="47"/>
      <c r="AJ368" s="223"/>
      <c r="AK368" s="47"/>
      <c r="AL368" s="47"/>
      <c r="AM368" s="47"/>
      <c r="AN368" s="47"/>
      <c r="AO368" s="47"/>
      <c r="AP368" s="194"/>
      <c r="AQ368" s="47"/>
      <c r="AR368" s="47"/>
      <c r="AS368" s="47"/>
      <c r="AT368" s="194"/>
      <c r="AU368" s="194"/>
      <c r="AV368" s="194"/>
      <c r="AW368" s="194"/>
      <c r="AX368" s="194"/>
      <c r="AY368" s="194"/>
      <c r="AZ368" s="194"/>
      <c r="BA368" s="194"/>
      <c r="BB368" s="194"/>
      <c r="BC368" s="194"/>
      <c r="BD368" s="194"/>
      <c r="BE368" s="194"/>
      <c r="BF368" s="194"/>
      <c r="BG368" s="194"/>
      <c r="BH368" s="194"/>
      <c r="BI368" s="194"/>
      <c r="BJ368" s="194"/>
      <c r="BK368" s="194"/>
      <c r="BL368" s="194"/>
      <c r="BM368" s="194"/>
      <c r="BN368" s="194"/>
      <c r="BO368" s="194"/>
      <c r="BP368" s="194"/>
      <c r="BQ368" s="47"/>
      <c r="BR368" s="194"/>
      <c r="BS368" s="47"/>
      <c r="BT368" s="47"/>
      <c r="BU368" s="47"/>
      <c r="BV368" s="47"/>
      <c r="BW368" s="47"/>
      <c r="BX368" s="194"/>
      <c r="BY368" s="194"/>
      <c r="BZ368" s="194"/>
      <c r="CA368" s="194"/>
      <c r="CB368" s="194"/>
      <c r="CC368" s="47"/>
      <c r="CD368" s="47"/>
      <c r="CE368" s="47"/>
      <c r="CF368" s="47"/>
      <c r="CG368" s="47"/>
      <c r="CH368" s="47"/>
      <c r="CI368" s="47"/>
      <c r="CJ368" s="47"/>
      <c r="CK368" s="194"/>
      <c r="CL368" s="194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>
        <v>16.5</v>
      </c>
      <c r="CW368" s="47"/>
      <c r="CX368" s="194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198"/>
      <c r="DX368" s="47"/>
      <c r="DY368" s="194"/>
      <c r="DZ368" s="47"/>
      <c r="EA368" s="47"/>
      <c r="EB368" s="194"/>
      <c r="EC368" s="47"/>
      <c r="ED368" s="195"/>
      <c r="EE368" s="195"/>
      <c r="EF368" s="195"/>
      <c r="EG368" s="195"/>
      <c r="EH368" s="195">
        <v>5</v>
      </c>
      <c r="EI368" s="196">
        <f t="shared" si="21"/>
        <v>0</v>
      </c>
      <c r="EJ368" s="201">
        <f t="shared" si="22"/>
        <v>0</v>
      </c>
      <c r="EK368" s="202">
        <v>0</v>
      </c>
      <c r="EL368" s="5"/>
      <c r="FA368" s="251">
        <f t="shared" si="20"/>
        <v>0</v>
      </c>
    </row>
    <row r="369" spans="1:157" s="1" customFormat="1" ht="20.149999999999999" customHeight="1" x14ac:dyDescent="0.35">
      <c r="A369" s="2"/>
      <c r="B369" s="380" t="s">
        <v>1374</v>
      </c>
      <c r="C369" s="380" t="s">
        <v>188</v>
      </c>
      <c r="D369" s="388" t="s">
        <v>770</v>
      </c>
      <c r="E369" s="389" t="s">
        <v>54</v>
      </c>
      <c r="F369" s="382" t="s">
        <v>301</v>
      </c>
      <c r="G369" s="2" t="s">
        <v>37</v>
      </c>
      <c r="H369" s="328">
        <f>H367/2</f>
        <v>6</v>
      </c>
      <c r="I369" s="47"/>
      <c r="J369" s="47"/>
      <c r="K369" s="47"/>
      <c r="L369" s="47"/>
      <c r="M369" s="47"/>
      <c r="N369" s="194"/>
      <c r="O369" s="194"/>
      <c r="P369" s="194"/>
      <c r="Q369" s="194"/>
      <c r="R369" s="47"/>
      <c r="S369" s="194"/>
      <c r="T369" s="47"/>
      <c r="U369" s="194"/>
      <c r="V369" s="47"/>
      <c r="W369" s="194"/>
      <c r="X369" s="47"/>
      <c r="Y369" s="194"/>
      <c r="Z369" s="194"/>
      <c r="AA369" s="47"/>
      <c r="AB369" s="47"/>
      <c r="AC369" s="47"/>
      <c r="AD369" s="47"/>
      <c r="AE369" s="194"/>
      <c r="AF369" s="194"/>
      <c r="AG369" s="194"/>
      <c r="AH369" s="5"/>
      <c r="AI369" s="47"/>
      <c r="AJ369" s="223"/>
      <c r="AK369" s="47"/>
      <c r="AL369" s="47"/>
      <c r="AM369" s="47"/>
      <c r="AN369" s="47"/>
      <c r="AO369" s="47"/>
      <c r="AP369" s="194"/>
      <c r="AQ369" s="47"/>
      <c r="AR369" s="47"/>
      <c r="AS369" s="47"/>
      <c r="AT369" s="194"/>
      <c r="AU369" s="194"/>
      <c r="AV369" s="194"/>
      <c r="AW369" s="194"/>
      <c r="AX369" s="194"/>
      <c r="AY369" s="194"/>
      <c r="AZ369" s="194"/>
      <c r="BA369" s="194"/>
      <c r="BB369" s="194"/>
      <c r="BC369" s="194"/>
      <c r="BD369" s="194"/>
      <c r="BE369" s="194"/>
      <c r="BF369" s="194"/>
      <c r="BG369" s="194"/>
      <c r="BH369" s="194"/>
      <c r="BI369" s="194"/>
      <c r="BJ369" s="194"/>
      <c r="BK369" s="194"/>
      <c r="BL369" s="194"/>
      <c r="BM369" s="194"/>
      <c r="BN369" s="194"/>
      <c r="BO369" s="194"/>
      <c r="BP369" s="194"/>
      <c r="BQ369" s="47"/>
      <c r="BR369" s="194"/>
      <c r="BS369" s="47"/>
      <c r="BT369" s="47"/>
      <c r="BU369" s="47"/>
      <c r="BV369" s="47"/>
      <c r="BW369" s="47"/>
      <c r="BX369" s="194"/>
      <c r="BY369" s="194"/>
      <c r="BZ369" s="194"/>
      <c r="CA369" s="194"/>
      <c r="CB369" s="194"/>
      <c r="CC369" s="47"/>
      <c r="CD369" s="47"/>
      <c r="CE369" s="47"/>
      <c r="CF369" s="47"/>
      <c r="CG369" s="47"/>
      <c r="CH369" s="47"/>
      <c r="CI369" s="47"/>
      <c r="CJ369" s="47"/>
      <c r="CK369" s="194"/>
      <c r="CL369" s="194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194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198"/>
      <c r="DX369" s="47"/>
      <c r="DY369" s="194"/>
      <c r="DZ369" s="47"/>
      <c r="EA369" s="47"/>
      <c r="EB369" s="194"/>
      <c r="EC369" s="47"/>
      <c r="ED369" s="195"/>
      <c r="EE369" s="195"/>
      <c r="EF369" s="195"/>
      <c r="EG369" s="195"/>
      <c r="EH369" s="195"/>
      <c r="EI369" s="196"/>
      <c r="EJ369" s="201"/>
      <c r="EK369" s="202"/>
      <c r="EL369" s="5"/>
      <c r="FA369" s="251">
        <f t="shared" si="20"/>
        <v>6</v>
      </c>
    </row>
    <row r="370" spans="1:157" s="1" customFormat="1" ht="20.149999999999999" customHeight="1" x14ac:dyDescent="0.35">
      <c r="A370" s="2"/>
      <c r="B370" s="47" t="s">
        <v>1080</v>
      </c>
      <c r="C370" s="47" t="s">
        <v>189</v>
      </c>
      <c r="D370" s="2" t="s">
        <v>770</v>
      </c>
      <c r="E370" s="2" t="s">
        <v>1721</v>
      </c>
      <c r="F370" s="2" t="s">
        <v>588</v>
      </c>
      <c r="G370" s="375" t="s">
        <v>570</v>
      </c>
      <c r="H370" s="328">
        <f>24.8*1.08</f>
        <v>26.784000000000002</v>
      </c>
      <c r="I370" s="47"/>
      <c r="J370" s="47"/>
      <c r="K370" s="47"/>
      <c r="L370" s="47">
        <v>33</v>
      </c>
      <c r="M370" s="47">
        <v>33</v>
      </c>
      <c r="N370" s="194">
        <v>34</v>
      </c>
      <c r="O370" s="194"/>
      <c r="P370" s="194"/>
      <c r="Q370" s="194"/>
      <c r="R370" s="194"/>
      <c r="S370" s="194">
        <v>34</v>
      </c>
      <c r="T370" s="47"/>
      <c r="U370" s="194"/>
      <c r="V370" s="47"/>
      <c r="W370" s="194"/>
      <c r="X370" s="198">
        <v>34</v>
      </c>
      <c r="Y370" s="194"/>
      <c r="Z370" s="194"/>
      <c r="AA370" s="47"/>
      <c r="AB370" s="47"/>
      <c r="AC370" s="47"/>
      <c r="AD370" s="47">
        <v>33</v>
      </c>
      <c r="AE370" s="194"/>
      <c r="AF370" s="194"/>
      <c r="AG370" s="194"/>
      <c r="AH370" s="5"/>
      <c r="AI370" s="47">
        <v>34</v>
      </c>
      <c r="AJ370" s="223"/>
      <c r="AK370" s="47">
        <v>33</v>
      </c>
      <c r="AL370" s="47">
        <v>34</v>
      </c>
      <c r="AM370" s="47"/>
      <c r="AN370" s="47"/>
      <c r="AO370" s="47"/>
      <c r="AP370" s="194"/>
      <c r="AQ370" s="47">
        <v>33</v>
      </c>
      <c r="AR370" s="47">
        <v>34</v>
      </c>
      <c r="AS370" s="47"/>
      <c r="AT370" s="194">
        <v>33</v>
      </c>
      <c r="AU370" s="194"/>
      <c r="AV370" s="194"/>
      <c r="AW370" s="194"/>
      <c r="AX370" s="194"/>
      <c r="AY370" s="194">
        <v>33</v>
      </c>
      <c r="AZ370" s="194"/>
      <c r="BA370" s="194"/>
      <c r="BB370" s="194"/>
      <c r="BC370" s="194"/>
      <c r="BD370" s="194"/>
      <c r="BE370" s="194"/>
      <c r="BF370" s="194"/>
      <c r="BG370" s="194"/>
      <c r="BH370" s="194"/>
      <c r="BI370" s="194"/>
      <c r="BJ370" s="194"/>
      <c r="BK370" s="194"/>
      <c r="BL370" s="194">
        <v>33</v>
      </c>
      <c r="BM370" s="194">
        <v>34</v>
      </c>
      <c r="BN370" s="194">
        <v>34</v>
      </c>
      <c r="BO370" s="194"/>
      <c r="BP370" s="194"/>
      <c r="BQ370" s="47">
        <v>34</v>
      </c>
      <c r="BR370" s="194"/>
      <c r="BS370" s="47">
        <v>34</v>
      </c>
      <c r="BT370" s="47"/>
      <c r="BU370" s="47"/>
      <c r="BV370" s="47"/>
      <c r="BW370" s="47"/>
      <c r="BX370" s="194">
        <v>33.5</v>
      </c>
      <c r="BY370" s="194"/>
      <c r="BZ370" s="194"/>
      <c r="CA370" s="194"/>
      <c r="CB370" s="194"/>
      <c r="CC370" s="47"/>
      <c r="CD370" s="47"/>
      <c r="CE370" s="47">
        <v>33</v>
      </c>
      <c r="CF370" s="47"/>
      <c r="CG370" s="47">
        <v>33</v>
      </c>
      <c r="CH370" s="47"/>
      <c r="CI370" s="47"/>
      <c r="CJ370" s="47"/>
      <c r="CK370" s="224"/>
      <c r="CL370" s="194"/>
      <c r="CM370" s="47"/>
      <c r="CN370" s="47"/>
      <c r="CO370" s="47">
        <v>34</v>
      </c>
      <c r="CP370" s="47">
        <v>34</v>
      </c>
      <c r="CQ370" s="47"/>
      <c r="CR370" s="47">
        <v>34</v>
      </c>
      <c r="CS370" s="198">
        <v>34</v>
      </c>
      <c r="CT370" s="47">
        <v>34</v>
      </c>
      <c r="CU370" s="47">
        <v>33</v>
      </c>
      <c r="CV370" s="47">
        <v>33</v>
      </c>
      <c r="CW370" s="47"/>
      <c r="CX370" s="194">
        <v>33</v>
      </c>
      <c r="CY370" s="47"/>
      <c r="CZ370" s="47">
        <v>30.5</v>
      </c>
      <c r="DA370" s="47"/>
      <c r="DB370" s="47"/>
      <c r="DC370" s="47">
        <v>33</v>
      </c>
      <c r="DD370" s="47"/>
      <c r="DE370" s="47"/>
      <c r="DF370" s="47"/>
      <c r="DG370" s="47"/>
      <c r="DH370" s="47"/>
      <c r="DI370" s="47"/>
      <c r="DJ370" s="47">
        <v>33.5</v>
      </c>
      <c r="DK370" s="47"/>
      <c r="DL370" s="47"/>
      <c r="DM370" s="47"/>
      <c r="DN370" s="47"/>
      <c r="DO370" s="47"/>
      <c r="DP370" s="47"/>
      <c r="DQ370" s="47"/>
      <c r="DR370" s="47">
        <v>34</v>
      </c>
      <c r="DS370" s="47"/>
      <c r="DT370" s="47"/>
      <c r="DU370" s="47"/>
      <c r="DV370" s="47"/>
      <c r="DW370" s="198"/>
      <c r="DX370" s="47"/>
      <c r="DY370" s="194"/>
      <c r="DZ370" s="47"/>
      <c r="EA370" s="47"/>
      <c r="EB370" s="194">
        <v>33.5</v>
      </c>
      <c r="EC370" s="47"/>
      <c r="ED370" s="195"/>
      <c r="EE370" s="195"/>
      <c r="EF370" s="195"/>
      <c r="EG370" s="195"/>
      <c r="EH370" s="195">
        <v>1</v>
      </c>
      <c r="EI370" s="196">
        <f t="shared" si="21"/>
        <v>26.784000000000002</v>
      </c>
      <c r="EJ370" s="201">
        <f t="shared" si="22"/>
        <v>34.015680000000003</v>
      </c>
      <c r="EK370" s="202">
        <v>0</v>
      </c>
      <c r="EL370" s="5"/>
      <c r="FA370" s="251">
        <f t="shared" si="20"/>
        <v>26.784000000000002</v>
      </c>
    </row>
    <row r="371" spans="1:157" s="1" customFormat="1" ht="20.149999999999999" customHeight="1" x14ac:dyDescent="0.35">
      <c r="A371" s="2"/>
      <c r="B371" s="383" t="s">
        <v>1081</v>
      </c>
      <c r="C371" s="383" t="s">
        <v>189</v>
      </c>
      <c r="D371" s="390" t="s">
        <v>770</v>
      </c>
      <c r="E371" s="385" t="s">
        <v>1306</v>
      </c>
      <c r="F371" s="385" t="s">
        <v>588</v>
      </c>
      <c r="G371" s="2" t="s">
        <v>570</v>
      </c>
      <c r="H371" s="328">
        <v>0</v>
      </c>
      <c r="I371" s="47"/>
      <c r="J371" s="47"/>
      <c r="K371" s="47"/>
      <c r="L371" s="47"/>
      <c r="M371" s="47"/>
      <c r="N371" s="194"/>
      <c r="O371" s="194"/>
      <c r="P371" s="194"/>
      <c r="Q371" s="194"/>
      <c r="R371" s="47"/>
      <c r="S371" s="194"/>
      <c r="T371" s="47"/>
      <c r="U371" s="194"/>
      <c r="V371" s="47"/>
      <c r="W371" s="194"/>
      <c r="X371" s="198"/>
      <c r="Y371" s="194"/>
      <c r="Z371" s="194"/>
      <c r="AA371" s="47"/>
      <c r="AB371" s="47"/>
      <c r="AC371" s="47"/>
      <c r="AD371" s="47"/>
      <c r="AE371" s="194"/>
      <c r="AF371" s="194"/>
      <c r="AG371" s="194"/>
      <c r="AH371" s="5"/>
      <c r="AI371" s="47"/>
      <c r="AJ371" s="223"/>
      <c r="AK371" s="47"/>
      <c r="AL371" s="47"/>
      <c r="AM371" s="47"/>
      <c r="AN371" s="47"/>
      <c r="AO371" s="47"/>
      <c r="AP371" s="194"/>
      <c r="AQ371" s="47"/>
      <c r="AR371" s="47"/>
      <c r="AS371" s="47"/>
      <c r="AT371" s="194"/>
      <c r="AU371" s="194"/>
      <c r="AV371" s="194"/>
      <c r="AW371" s="194"/>
      <c r="AX371" s="194"/>
      <c r="AY371" s="194"/>
      <c r="AZ371" s="194"/>
      <c r="BA371" s="194"/>
      <c r="BB371" s="194"/>
      <c r="BC371" s="194"/>
      <c r="BD371" s="194"/>
      <c r="BE371" s="194"/>
      <c r="BF371" s="194"/>
      <c r="BG371" s="194"/>
      <c r="BH371" s="194"/>
      <c r="BI371" s="194"/>
      <c r="BJ371" s="194"/>
      <c r="BK371" s="194"/>
      <c r="BL371" s="194"/>
      <c r="BM371" s="194"/>
      <c r="BN371" s="194"/>
      <c r="BO371" s="194"/>
      <c r="BP371" s="194"/>
      <c r="BQ371" s="47"/>
      <c r="BR371" s="194"/>
      <c r="BS371" s="47"/>
      <c r="BT371" s="47"/>
      <c r="BU371" s="47"/>
      <c r="BV371" s="47"/>
      <c r="BW371" s="47"/>
      <c r="BX371" s="194">
        <v>29</v>
      </c>
      <c r="BY371" s="194"/>
      <c r="BZ371" s="194"/>
      <c r="CA371" s="194"/>
      <c r="CB371" s="194"/>
      <c r="CC371" s="47"/>
      <c r="CD371" s="47"/>
      <c r="CE371" s="47"/>
      <c r="CF371" s="47"/>
      <c r="CG371" s="47"/>
      <c r="CH371" s="47"/>
      <c r="CI371" s="47"/>
      <c r="CJ371" s="47"/>
      <c r="CK371" s="224"/>
      <c r="CL371" s="194"/>
      <c r="CM371" s="47"/>
      <c r="CN371" s="47"/>
      <c r="CO371" s="47"/>
      <c r="CP371" s="47"/>
      <c r="CQ371" s="47"/>
      <c r="CR371" s="47"/>
      <c r="CS371" s="198"/>
      <c r="CT371" s="47"/>
      <c r="CU371" s="47"/>
      <c r="CV371" s="47"/>
      <c r="CW371" s="47"/>
      <c r="CX371" s="194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198"/>
      <c r="DX371" s="47"/>
      <c r="DY371" s="194"/>
      <c r="DZ371" s="47"/>
      <c r="EA371" s="47"/>
      <c r="EB371" s="194"/>
      <c r="EC371" s="47"/>
      <c r="ED371" s="195"/>
      <c r="EE371" s="195"/>
      <c r="EF371" s="195"/>
      <c r="EG371" s="195"/>
      <c r="EH371" s="195"/>
      <c r="EI371" s="196"/>
      <c r="EJ371" s="201"/>
      <c r="EK371" s="202"/>
      <c r="EL371" s="5"/>
      <c r="FA371" s="251">
        <f t="shared" si="20"/>
        <v>0</v>
      </c>
    </row>
    <row r="372" spans="1:157" s="1" customFormat="1" ht="20.149999999999999" customHeight="1" x14ac:dyDescent="0.35">
      <c r="A372" s="2"/>
      <c r="B372" s="47" t="s">
        <v>1706</v>
      </c>
      <c r="C372" s="47" t="s">
        <v>189</v>
      </c>
      <c r="D372" s="252" t="s">
        <v>770</v>
      </c>
      <c r="E372" s="2" t="s">
        <v>1721</v>
      </c>
      <c r="F372" s="2" t="s">
        <v>48</v>
      </c>
      <c r="G372" s="375" t="s">
        <v>37</v>
      </c>
      <c r="H372" s="328">
        <f>H370/25*5</f>
        <v>5.3568000000000007</v>
      </c>
      <c r="I372" s="47"/>
      <c r="J372" s="47"/>
      <c r="K372" s="47"/>
      <c r="L372" s="47"/>
      <c r="M372" s="47"/>
      <c r="N372" s="194"/>
      <c r="O372" s="194"/>
      <c r="P372" s="194"/>
      <c r="Q372" s="194"/>
      <c r="R372" s="47"/>
      <c r="S372" s="194"/>
      <c r="T372" s="47"/>
      <c r="U372" s="194"/>
      <c r="V372" s="47"/>
      <c r="W372" s="194"/>
      <c r="X372" s="47"/>
      <c r="Y372" s="194"/>
      <c r="Z372" s="194"/>
      <c r="AA372" s="47"/>
      <c r="AB372" s="47"/>
      <c r="AC372" s="47"/>
      <c r="AD372" s="47">
        <v>7.3</v>
      </c>
      <c r="AE372" s="194"/>
      <c r="AF372" s="194"/>
      <c r="AG372" s="194"/>
      <c r="AH372" s="5">
        <v>7.8</v>
      </c>
      <c r="AI372" s="47"/>
      <c r="AJ372" s="223"/>
      <c r="AK372" s="47">
        <v>7.5</v>
      </c>
      <c r="AL372" s="47"/>
      <c r="AM372" s="47"/>
      <c r="AN372" s="47"/>
      <c r="AO372" s="47"/>
      <c r="AP372" s="194">
        <v>7.5</v>
      </c>
      <c r="AQ372" s="47"/>
      <c r="AR372" s="47">
        <v>6.8</v>
      </c>
      <c r="AS372" s="47"/>
      <c r="AT372" s="198">
        <v>6.8</v>
      </c>
      <c r="AU372" s="198">
        <v>7.2</v>
      </c>
      <c r="AV372" s="194"/>
      <c r="AW372" s="194"/>
      <c r="AX372" s="194">
        <v>8.5</v>
      </c>
      <c r="AY372" s="194"/>
      <c r="AZ372" s="194"/>
      <c r="BA372" s="194"/>
      <c r="BB372" s="194"/>
      <c r="BC372" s="194"/>
      <c r="BD372" s="194"/>
      <c r="BE372" s="194"/>
      <c r="BF372" s="194"/>
      <c r="BG372" s="194"/>
      <c r="BH372" s="194"/>
      <c r="BI372" s="194"/>
      <c r="BJ372" s="194"/>
      <c r="BK372" s="194"/>
      <c r="BL372" s="194"/>
      <c r="BM372" s="194"/>
      <c r="BN372" s="194"/>
      <c r="BO372" s="194"/>
      <c r="BP372" s="194"/>
      <c r="BQ372" s="47"/>
      <c r="BR372" s="194"/>
      <c r="BS372" s="47"/>
      <c r="BT372" s="47"/>
      <c r="BU372" s="47"/>
      <c r="BV372" s="47"/>
      <c r="BW372" s="47"/>
      <c r="BX372" s="194"/>
      <c r="BY372" s="194"/>
      <c r="BZ372" s="194">
        <v>7.5</v>
      </c>
      <c r="CA372" s="194"/>
      <c r="CB372" s="194"/>
      <c r="CC372" s="47"/>
      <c r="CD372" s="47"/>
      <c r="CE372" s="47"/>
      <c r="CF372" s="47"/>
      <c r="CG372" s="47"/>
      <c r="CH372" s="47"/>
      <c r="CI372" s="47">
        <v>7.5</v>
      </c>
      <c r="CJ372" s="47"/>
      <c r="CK372" s="224"/>
      <c r="CL372" s="194"/>
      <c r="CM372" s="47"/>
      <c r="CN372" s="47"/>
      <c r="CO372" s="47"/>
      <c r="CP372" s="47">
        <v>6.8</v>
      </c>
      <c r="CQ372" s="47"/>
      <c r="CR372" s="47"/>
      <c r="CS372" s="47"/>
      <c r="CT372" s="47"/>
      <c r="CU372" s="47"/>
      <c r="CV372" s="47"/>
      <c r="CW372" s="47"/>
      <c r="CX372" s="194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>
        <v>7.5</v>
      </c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198"/>
      <c r="DX372" s="47"/>
      <c r="DY372" s="194"/>
      <c r="DZ372" s="47"/>
      <c r="EA372" s="47"/>
      <c r="EB372" s="194"/>
      <c r="EC372" s="47"/>
      <c r="ED372" s="195"/>
      <c r="EE372" s="195"/>
      <c r="EF372" s="195"/>
      <c r="EG372" s="195"/>
      <c r="EH372" s="195">
        <v>28</v>
      </c>
      <c r="EI372" s="196">
        <f t="shared" si="21"/>
        <v>149.99040000000002</v>
      </c>
      <c r="EJ372" s="201">
        <f t="shared" si="22"/>
        <v>6.8031360000000012</v>
      </c>
      <c r="EK372" s="202">
        <v>5</v>
      </c>
      <c r="EL372" s="5"/>
      <c r="FA372" s="251">
        <f t="shared" si="20"/>
        <v>5.3568000000000007</v>
      </c>
    </row>
    <row r="373" spans="1:157" s="1" customFormat="1" ht="20.149999999999999" customHeight="1" x14ac:dyDescent="0.35">
      <c r="A373" s="2"/>
      <c r="B373" s="373" t="s">
        <v>1705</v>
      </c>
      <c r="C373" s="373" t="s">
        <v>189</v>
      </c>
      <c r="D373" s="252" t="s">
        <v>770</v>
      </c>
      <c r="E373" s="2" t="s">
        <v>1721</v>
      </c>
      <c r="F373" s="374" t="s">
        <v>36</v>
      </c>
      <c r="G373" s="2" t="s">
        <v>37</v>
      </c>
      <c r="H373" s="328">
        <f>H370/25*2</f>
        <v>2.1427200000000002</v>
      </c>
      <c r="I373" s="47"/>
      <c r="J373" s="47"/>
      <c r="K373" s="47"/>
      <c r="L373" s="47"/>
      <c r="M373" s="47"/>
      <c r="N373" s="194"/>
      <c r="O373" s="194"/>
      <c r="P373" s="194"/>
      <c r="Q373" s="194"/>
      <c r="R373" s="47"/>
      <c r="S373" s="194"/>
      <c r="T373" s="47"/>
      <c r="U373" s="194"/>
      <c r="V373" s="47"/>
      <c r="W373" s="194"/>
      <c r="X373" s="47"/>
      <c r="Y373" s="194"/>
      <c r="Z373" s="194"/>
      <c r="AA373" s="47"/>
      <c r="AB373" s="47"/>
      <c r="AC373" s="47"/>
      <c r="AD373" s="47"/>
      <c r="AE373" s="194"/>
      <c r="AF373" s="194"/>
      <c r="AG373" s="194"/>
      <c r="AH373" s="5"/>
      <c r="AI373" s="47"/>
      <c r="AJ373" s="223"/>
      <c r="AK373" s="47"/>
      <c r="AL373" s="47"/>
      <c r="AM373" s="47"/>
      <c r="AN373" s="47"/>
      <c r="AO373" s="47"/>
      <c r="AP373" s="194"/>
      <c r="AQ373" s="47"/>
      <c r="AR373" s="47"/>
      <c r="AS373" s="47"/>
      <c r="AT373" s="194"/>
      <c r="AU373" s="194"/>
      <c r="AV373" s="194"/>
      <c r="AW373" s="194"/>
      <c r="AX373" s="194"/>
      <c r="AY373" s="194"/>
      <c r="AZ373" s="194"/>
      <c r="BA373" s="194"/>
      <c r="BB373" s="194"/>
      <c r="BC373" s="194"/>
      <c r="BD373" s="194"/>
      <c r="BE373" s="194"/>
      <c r="BF373" s="194"/>
      <c r="BG373" s="194"/>
      <c r="BH373" s="194"/>
      <c r="BI373" s="194"/>
      <c r="BJ373" s="194"/>
      <c r="BK373" s="194"/>
      <c r="BL373" s="194"/>
      <c r="BM373" s="194"/>
      <c r="BN373" s="194"/>
      <c r="BO373" s="194"/>
      <c r="BP373" s="194"/>
      <c r="BQ373" s="47"/>
      <c r="BR373" s="194"/>
      <c r="BS373" s="47"/>
      <c r="BT373" s="47">
        <v>4</v>
      </c>
      <c r="BU373" s="47"/>
      <c r="BV373" s="47"/>
      <c r="BW373" s="47"/>
      <c r="BX373" s="194"/>
      <c r="BY373" s="194"/>
      <c r="BZ373" s="194"/>
      <c r="CA373" s="194"/>
      <c r="CB373" s="194"/>
      <c r="CC373" s="47"/>
      <c r="CD373" s="47"/>
      <c r="CE373" s="47"/>
      <c r="CF373" s="47"/>
      <c r="CG373" s="47"/>
      <c r="CH373" s="47"/>
      <c r="CI373" s="47">
        <v>3</v>
      </c>
      <c r="CJ373" s="47"/>
      <c r="CK373" s="224"/>
      <c r="CL373" s="198">
        <v>3.1</v>
      </c>
      <c r="CM373" s="47"/>
      <c r="CN373" s="47"/>
      <c r="CO373" s="47"/>
      <c r="CP373" s="47"/>
      <c r="CQ373" s="47"/>
      <c r="CR373" s="47"/>
      <c r="CS373" s="342">
        <v>4</v>
      </c>
      <c r="CT373" s="47"/>
      <c r="CU373" s="47"/>
      <c r="CV373" s="47"/>
      <c r="CW373" s="47"/>
      <c r="CX373" s="194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>
        <v>3</v>
      </c>
      <c r="DV373" s="47"/>
      <c r="DW373" s="198"/>
      <c r="DX373" s="47"/>
      <c r="DY373" s="194"/>
      <c r="DZ373" s="47"/>
      <c r="EA373" s="47"/>
      <c r="EB373" s="194"/>
      <c r="EC373" s="47"/>
      <c r="ED373" s="195"/>
      <c r="EE373" s="195"/>
      <c r="EF373" s="195"/>
      <c r="EG373" s="195"/>
      <c r="EH373" s="195">
        <v>21</v>
      </c>
      <c r="EI373" s="196">
        <f t="shared" si="21"/>
        <v>44.997120000000002</v>
      </c>
      <c r="EJ373" s="201">
        <f t="shared" si="22"/>
        <v>2.7212544000000003</v>
      </c>
      <c r="EK373" s="202">
        <v>2.4</v>
      </c>
      <c r="EL373" s="5"/>
      <c r="FA373" s="251">
        <f t="shared" si="20"/>
        <v>2.1427200000000002</v>
      </c>
    </row>
    <row r="374" spans="1:157" s="1" customFormat="1" ht="20.149999999999999" customHeight="1" x14ac:dyDescent="0.35">
      <c r="A374" s="2"/>
      <c r="B374" s="47" t="s">
        <v>1707</v>
      </c>
      <c r="C374" s="47" t="s">
        <v>189</v>
      </c>
      <c r="D374" s="252" t="s">
        <v>770</v>
      </c>
      <c r="E374" s="2" t="s">
        <v>1721</v>
      </c>
      <c r="F374" s="2" t="s">
        <v>65</v>
      </c>
      <c r="G374" s="2"/>
      <c r="H374" s="328">
        <f>H370/25</f>
        <v>1.0713600000000001</v>
      </c>
      <c r="I374" s="47"/>
      <c r="J374" s="47"/>
      <c r="K374" s="47"/>
      <c r="L374" s="47"/>
      <c r="M374" s="47"/>
      <c r="N374" s="194"/>
      <c r="O374" s="194"/>
      <c r="P374" s="194"/>
      <c r="Q374" s="194"/>
      <c r="R374" s="47"/>
      <c r="S374" s="194"/>
      <c r="T374" s="47"/>
      <c r="U374" s="194"/>
      <c r="V374" s="47"/>
      <c r="W374" s="198">
        <v>1.4</v>
      </c>
      <c r="X374" s="47"/>
      <c r="Y374" s="194"/>
      <c r="Z374" s="194"/>
      <c r="AA374" s="47"/>
      <c r="AB374" s="47"/>
      <c r="AC374" s="47"/>
      <c r="AD374" s="47"/>
      <c r="AE374" s="194"/>
      <c r="AF374" s="194"/>
      <c r="AG374" s="194"/>
      <c r="AH374" s="5"/>
      <c r="AI374" s="47"/>
      <c r="AJ374" s="223"/>
      <c r="AK374" s="47"/>
      <c r="AL374" s="47"/>
      <c r="AM374" s="47"/>
      <c r="AN374" s="47"/>
      <c r="AO374" s="47"/>
      <c r="AP374" s="194"/>
      <c r="AQ374" s="47"/>
      <c r="AR374" s="47"/>
      <c r="AS374" s="47"/>
      <c r="AT374" s="194"/>
      <c r="AU374" s="194"/>
      <c r="AV374" s="194"/>
      <c r="AW374" s="194"/>
      <c r="AX374" s="194"/>
      <c r="AY374" s="194"/>
      <c r="AZ374" s="194"/>
      <c r="BA374" s="194"/>
      <c r="BB374" s="194"/>
      <c r="BC374" s="194"/>
      <c r="BD374" s="194"/>
      <c r="BE374" s="194"/>
      <c r="BF374" s="194"/>
      <c r="BG374" s="194"/>
      <c r="BH374" s="194"/>
      <c r="BI374" s="194"/>
      <c r="BJ374" s="194"/>
      <c r="BK374" s="194"/>
      <c r="BL374" s="194"/>
      <c r="BM374" s="194"/>
      <c r="BN374" s="194"/>
      <c r="BO374" s="194"/>
      <c r="BP374" s="194"/>
      <c r="BQ374" s="47"/>
      <c r="BR374" s="194"/>
      <c r="BS374" s="47"/>
      <c r="BT374" s="47"/>
      <c r="BU374" s="47"/>
      <c r="BV374" s="47"/>
      <c r="BW374" s="47"/>
      <c r="BX374" s="194"/>
      <c r="BY374" s="194"/>
      <c r="BZ374" s="194"/>
      <c r="CA374" s="194"/>
      <c r="CB374" s="194"/>
      <c r="CC374" s="47"/>
      <c r="CD374" s="47"/>
      <c r="CE374" s="47"/>
      <c r="CF374" s="47"/>
      <c r="CG374" s="47"/>
      <c r="CH374" s="47"/>
      <c r="CI374" s="47"/>
      <c r="CJ374" s="47"/>
      <c r="CK374" s="224"/>
      <c r="CL374" s="198"/>
      <c r="CM374" s="47"/>
      <c r="CN374" s="47"/>
      <c r="CO374" s="47"/>
      <c r="CP374" s="47"/>
      <c r="CQ374" s="47"/>
      <c r="CR374" s="47"/>
      <c r="CS374" s="198"/>
      <c r="CT374" s="47"/>
      <c r="CU374" s="47"/>
      <c r="CV374" s="47"/>
      <c r="CW374" s="47"/>
      <c r="CX374" s="194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>
        <v>1.5</v>
      </c>
      <c r="DV374" s="47"/>
      <c r="DW374" s="198"/>
      <c r="DX374" s="47"/>
      <c r="DY374" s="194"/>
      <c r="DZ374" s="47"/>
      <c r="EA374" s="47"/>
      <c r="EB374" s="194"/>
      <c r="EC374" s="47"/>
      <c r="ED374" s="195"/>
      <c r="EE374" s="195"/>
      <c r="EF374" s="195"/>
      <c r="EG374" s="195"/>
      <c r="EH374" s="195"/>
      <c r="EI374" s="196"/>
      <c r="EJ374" s="201"/>
      <c r="EK374" s="202"/>
      <c r="EL374" s="5"/>
      <c r="FA374" s="251">
        <f t="shared" si="20"/>
        <v>1.0713600000000001</v>
      </c>
    </row>
    <row r="375" spans="1:157" s="1" customFormat="1" ht="20.149999999999999" customHeight="1" x14ac:dyDescent="0.35">
      <c r="A375" s="2"/>
      <c r="B375" s="47" t="s">
        <v>1084</v>
      </c>
      <c r="C375" s="47" t="s">
        <v>1429</v>
      </c>
      <c r="D375" s="252" t="s">
        <v>56</v>
      </c>
      <c r="E375" s="2" t="s">
        <v>56</v>
      </c>
      <c r="F375" s="2" t="s">
        <v>60</v>
      </c>
      <c r="G375" s="2" t="s">
        <v>32</v>
      </c>
      <c r="H375" s="407">
        <v>18</v>
      </c>
      <c r="I375" s="47"/>
      <c r="J375" s="47"/>
      <c r="K375" s="47"/>
      <c r="L375" s="47"/>
      <c r="M375" s="47"/>
      <c r="N375" s="194"/>
      <c r="O375" s="194"/>
      <c r="P375" s="194"/>
      <c r="Q375" s="194"/>
      <c r="R375" s="47"/>
      <c r="S375" s="194"/>
      <c r="T375" s="47"/>
      <c r="U375" s="194"/>
      <c r="V375" s="47"/>
      <c r="W375" s="194"/>
      <c r="X375" s="198"/>
      <c r="Y375" s="194"/>
      <c r="Z375" s="194"/>
      <c r="AA375" s="47"/>
      <c r="AB375" s="47"/>
      <c r="AC375" s="47"/>
      <c r="AD375" s="47"/>
      <c r="AE375" s="194"/>
      <c r="AF375" s="194"/>
      <c r="AG375" s="194"/>
      <c r="AH375" s="5"/>
      <c r="AI375" s="47"/>
      <c r="AJ375" s="223"/>
      <c r="AK375" s="47"/>
      <c r="AL375" s="47"/>
      <c r="AM375" s="47"/>
      <c r="AN375" s="47"/>
      <c r="AO375" s="47"/>
      <c r="AP375" s="194"/>
      <c r="AQ375" s="47"/>
      <c r="AR375" s="47"/>
      <c r="AS375" s="47"/>
      <c r="AT375" s="194"/>
      <c r="AU375" s="194"/>
      <c r="AV375" s="194"/>
      <c r="AW375" s="194"/>
      <c r="AX375" s="194"/>
      <c r="AY375" s="194"/>
      <c r="AZ375" s="194"/>
      <c r="BA375" s="194"/>
      <c r="BB375" s="194"/>
      <c r="BC375" s="194"/>
      <c r="BD375" s="194"/>
      <c r="BE375" s="194"/>
      <c r="BF375" s="194"/>
      <c r="BG375" s="194"/>
      <c r="BH375" s="194"/>
      <c r="BI375" s="194"/>
      <c r="BJ375" s="194"/>
      <c r="BK375" s="194"/>
      <c r="BL375" s="194"/>
      <c r="BM375" s="194"/>
      <c r="BN375" s="194"/>
      <c r="BO375" s="194"/>
      <c r="BP375" s="194"/>
      <c r="BQ375" s="47"/>
      <c r="BR375" s="194"/>
      <c r="BS375" s="47"/>
      <c r="BT375" s="47"/>
      <c r="BU375" s="47"/>
      <c r="BV375" s="47"/>
      <c r="BW375" s="47"/>
      <c r="BX375" s="194"/>
      <c r="BY375" s="194"/>
      <c r="BZ375" s="194"/>
      <c r="CA375" s="194"/>
      <c r="CB375" s="194"/>
      <c r="CC375" s="47"/>
      <c r="CD375" s="47"/>
      <c r="CE375" s="47"/>
      <c r="CF375" s="47"/>
      <c r="CG375" s="47"/>
      <c r="CH375" s="47"/>
      <c r="CI375" s="47"/>
      <c r="CJ375" s="47"/>
      <c r="CK375" s="224"/>
      <c r="CL375" s="194"/>
      <c r="CM375" s="47"/>
      <c r="CN375" s="47"/>
      <c r="CO375" s="47"/>
      <c r="CP375" s="47"/>
      <c r="CQ375" s="47"/>
      <c r="CR375" s="47"/>
      <c r="CS375" s="198"/>
      <c r="CT375" s="47"/>
      <c r="CU375" s="47"/>
      <c r="CV375" s="2"/>
      <c r="CW375" s="47"/>
      <c r="CX375" s="194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198"/>
      <c r="DX375" s="47"/>
      <c r="DY375" s="194"/>
      <c r="DZ375" s="47"/>
      <c r="EA375" s="47"/>
      <c r="EB375" s="194"/>
      <c r="EC375" s="47"/>
      <c r="ED375" s="195"/>
      <c r="EE375" s="195"/>
      <c r="EF375" s="195"/>
      <c r="EG375" s="195"/>
      <c r="EH375" s="195">
        <v>53</v>
      </c>
      <c r="EI375" s="196">
        <f t="shared" si="21"/>
        <v>954</v>
      </c>
      <c r="EJ375" s="201">
        <f t="shared" si="22"/>
        <v>22.86</v>
      </c>
      <c r="EK375" s="202">
        <v>23</v>
      </c>
      <c r="EL375" s="5"/>
      <c r="FA375" s="251">
        <f t="shared" si="20"/>
        <v>18</v>
      </c>
    </row>
    <row r="376" spans="1:157" s="89" customFormat="1" ht="20.149999999999999" customHeight="1" x14ac:dyDescent="0.35">
      <c r="A376" s="2"/>
      <c r="B376" s="47" t="s">
        <v>1085</v>
      </c>
      <c r="C376" s="47" t="s">
        <v>1429</v>
      </c>
      <c r="D376" s="252" t="s">
        <v>299</v>
      </c>
      <c r="E376" s="2" t="s">
        <v>99</v>
      </c>
      <c r="F376" s="2" t="s">
        <v>60</v>
      </c>
      <c r="G376" s="2" t="s">
        <v>32</v>
      </c>
      <c r="H376" s="407">
        <v>31</v>
      </c>
      <c r="I376" s="47"/>
      <c r="J376" s="47"/>
      <c r="K376" s="47"/>
      <c r="L376" s="47"/>
      <c r="M376" s="47">
        <v>38</v>
      </c>
      <c r="N376" s="194"/>
      <c r="O376" s="194"/>
      <c r="P376" s="194"/>
      <c r="Q376" s="194"/>
      <c r="R376" s="47"/>
      <c r="S376" s="194"/>
      <c r="T376" s="47"/>
      <c r="U376" s="194"/>
      <c r="V376" s="47"/>
      <c r="W376" s="194"/>
      <c r="X376" s="47">
        <v>37</v>
      </c>
      <c r="Y376" s="194"/>
      <c r="Z376" s="194"/>
      <c r="AA376" s="47"/>
      <c r="AB376" s="47">
        <v>37</v>
      </c>
      <c r="AC376" s="47"/>
      <c r="AD376" s="47">
        <v>36</v>
      </c>
      <c r="AE376" s="194"/>
      <c r="AF376" s="194"/>
      <c r="AG376" s="194"/>
      <c r="AH376" s="355"/>
      <c r="AI376" s="47"/>
      <c r="AJ376" s="223"/>
      <c r="AK376" s="47"/>
      <c r="AL376" s="47"/>
      <c r="AM376" s="47"/>
      <c r="AN376" s="47"/>
      <c r="AO376" s="47"/>
      <c r="AP376" s="194"/>
      <c r="AQ376" s="47">
        <v>37</v>
      </c>
      <c r="AR376" s="47"/>
      <c r="AS376" s="47">
        <v>37</v>
      </c>
      <c r="AT376" s="194"/>
      <c r="AU376" s="194"/>
      <c r="AV376" s="194"/>
      <c r="AW376" s="194"/>
      <c r="AX376" s="194"/>
      <c r="AY376" s="194"/>
      <c r="AZ376" s="194"/>
      <c r="BA376" s="194"/>
      <c r="BB376" s="194"/>
      <c r="BC376" s="194"/>
      <c r="BD376" s="194"/>
      <c r="BE376" s="194"/>
      <c r="BF376" s="194"/>
      <c r="BG376" s="194"/>
      <c r="BH376" s="194"/>
      <c r="BI376" s="194">
        <v>36</v>
      </c>
      <c r="BJ376" s="194"/>
      <c r="BK376" s="194"/>
      <c r="BL376" s="194"/>
      <c r="BM376" s="194"/>
      <c r="BN376" s="194">
        <v>37</v>
      </c>
      <c r="BO376" s="194"/>
      <c r="BP376" s="194"/>
      <c r="BQ376" s="47"/>
      <c r="BR376" s="194"/>
      <c r="BS376" s="47"/>
      <c r="BT376" s="47"/>
      <c r="BU376" s="47">
        <v>37</v>
      </c>
      <c r="BV376" s="47"/>
      <c r="BW376" s="47"/>
      <c r="BX376" s="194">
        <v>36</v>
      </c>
      <c r="BY376" s="194"/>
      <c r="BZ376" s="194"/>
      <c r="CA376" s="194"/>
      <c r="CB376" s="194"/>
      <c r="CC376" s="47"/>
      <c r="CD376" s="47"/>
      <c r="CE376" s="47"/>
      <c r="CF376" s="47"/>
      <c r="CG376" s="47">
        <v>37</v>
      </c>
      <c r="CH376" s="47"/>
      <c r="CI376" s="47"/>
      <c r="CJ376" s="47"/>
      <c r="CK376" s="224"/>
      <c r="CL376" s="194"/>
      <c r="CM376" s="47"/>
      <c r="CN376" s="47"/>
      <c r="CO376" s="47">
        <v>37</v>
      </c>
      <c r="CP376" s="47">
        <v>37</v>
      </c>
      <c r="CQ376" s="47"/>
      <c r="CR376" s="47"/>
      <c r="CS376" s="342">
        <v>37</v>
      </c>
      <c r="CT376" s="47"/>
      <c r="CU376" s="47"/>
      <c r="CV376" s="47"/>
      <c r="CW376" s="47"/>
      <c r="CX376" s="194"/>
      <c r="CY376" s="47"/>
      <c r="CZ376" s="47"/>
      <c r="DA376" s="47">
        <v>36</v>
      </c>
      <c r="DB376" s="47"/>
      <c r="DC376" s="47"/>
      <c r="DD376" s="47"/>
      <c r="DE376" s="47"/>
      <c r="DF376" s="47"/>
      <c r="DG376" s="47"/>
      <c r="DH376" s="47"/>
      <c r="DI376" s="47"/>
      <c r="DJ376" s="47">
        <v>36</v>
      </c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198"/>
      <c r="DX376" s="47"/>
      <c r="DY376" s="194"/>
      <c r="DZ376" s="47"/>
      <c r="EA376" s="47"/>
      <c r="EB376" s="194"/>
      <c r="EC376" s="47"/>
      <c r="ED376" s="195"/>
      <c r="EE376" s="195"/>
      <c r="EF376" s="195"/>
      <c r="EG376" s="195"/>
      <c r="EH376" s="195">
        <v>24</v>
      </c>
      <c r="EI376" s="196">
        <f t="shared" si="21"/>
        <v>744</v>
      </c>
      <c r="EJ376" s="201">
        <f t="shared" si="22"/>
        <v>39.369999999999997</v>
      </c>
      <c r="EK376" s="202">
        <f t="shared" ref="EK376:EK425" si="23">AVERAGE(I376:EC376)</f>
        <v>36.75</v>
      </c>
      <c r="EL376" s="355"/>
      <c r="FA376" s="251">
        <f t="shared" si="20"/>
        <v>31</v>
      </c>
    </row>
    <row r="377" spans="1:157" s="89" customFormat="1" ht="20.149999999999999" customHeight="1" x14ac:dyDescent="0.35">
      <c r="A377" s="2"/>
      <c r="B377" s="380" t="s">
        <v>1151</v>
      </c>
      <c r="C377" s="47" t="s">
        <v>1429</v>
      </c>
      <c r="D377" s="381" t="s">
        <v>299</v>
      </c>
      <c r="E377" s="382" t="s">
        <v>99</v>
      </c>
      <c r="F377" s="382" t="s">
        <v>1000</v>
      </c>
      <c r="G377" s="2" t="s">
        <v>45</v>
      </c>
      <c r="H377" s="328">
        <f>H376/10/2</f>
        <v>1.55</v>
      </c>
      <c r="I377" s="47"/>
      <c r="J377" s="47"/>
      <c r="K377" s="47"/>
      <c r="L377" s="47"/>
      <c r="M377" s="47"/>
      <c r="N377" s="194"/>
      <c r="O377" s="194"/>
      <c r="P377" s="194"/>
      <c r="Q377" s="194"/>
      <c r="R377" s="47"/>
      <c r="S377" s="194"/>
      <c r="T377" s="47"/>
      <c r="U377" s="194"/>
      <c r="V377" s="47"/>
      <c r="W377" s="194"/>
      <c r="X377" s="47"/>
      <c r="Y377" s="194"/>
      <c r="Z377" s="194"/>
      <c r="AA377" s="47"/>
      <c r="AB377" s="47"/>
      <c r="AC377" s="47"/>
      <c r="AD377" s="47"/>
      <c r="AE377" s="194"/>
      <c r="AF377" s="194"/>
      <c r="AG377" s="194"/>
      <c r="AH377" s="355"/>
      <c r="AI377" s="47"/>
      <c r="AJ377" s="223"/>
      <c r="AK377" s="47"/>
      <c r="AL377" s="47"/>
      <c r="AM377" s="47"/>
      <c r="AN377" s="47"/>
      <c r="AO377" s="47"/>
      <c r="AP377" s="194"/>
      <c r="AQ377" s="47"/>
      <c r="AR377" s="47"/>
      <c r="AS377" s="47"/>
      <c r="AT377" s="194"/>
      <c r="AU377" s="194"/>
      <c r="AV377" s="194"/>
      <c r="AW377" s="194"/>
      <c r="AX377" s="194"/>
      <c r="AY377" s="194"/>
      <c r="AZ377" s="194"/>
      <c r="BA377" s="194"/>
      <c r="BB377" s="194"/>
      <c r="BC377" s="194"/>
      <c r="BD377" s="194"/>
      <c r="BE377" s="194"/>
      <c r="BF377" s="194"/>
      <c r="BG377" s="194"/>
      <c r="BH377" s="194"/>
      <c r="BI377" s="194"/>
      <c r="BJ377" s="194"/>
      <c r="BK377" s="194"/>
      <c r="BL377" s="194"/>
      <c r="BM377" s="194"/>
      <c r="BN377" s="194"/>
      <c r="BO377" s="194"/>
      <c r="BP377" s="194"/>
      <c r="BQ377" s="47"/>
      <c r="BR377" s="194"/>
      <c r="BS377" s="47"/>
      <c r="BT377" s="47"/>
      <c r="BU377" s="47"/>
      <c r="BV377" s="47"/>
      <c r="BW377" s="47"/>
      <c r="BX377" s="194"/>
      <c r="BY377" s="194"/>
      <c r="BZ377" s="194"/>
      <c r="CA377" s="194"/>
      <c r="CB377" s="194"/>
      <c r="CC377" s="47"/>
      <c r="CD377" s="47"/>
      <c r="CE377" s="47"/>
      <c r="CF377" s="47"/>
      <c r="CG377" s="47"/>
      <c r="CH377" s="47"/>
      <c r="CI377" s="47"/>
      <c r="CJ377" s="47"/>
      <c r="CK377" s="224"/>
      <c r="CL377" s="194"/>
      <c r="CM377" s="47"/>
      <c r="CN377" s="47"/>
      <c r="CO377" s="47"/>
      <c r="CP377" s="47"/>
      <c r="CQ377" s="47"/>
      <c r="CR377" s="47"/>
      <c r="CS377" s="198"/>
      <c r="CT377" s="47"/>
      <c r="CU377" s="47"/>
      <c r="CV377" s="47"/>
      <c r="CW377" s="47"/>
      <c r="CX377" s="194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>
        <v>1.8</v>
      </c>
      <c r="DV377" s="47"/>
      <c r="DW377" s="198"/>
      <c r="DX377" s="47"/>
      <c r="DY377" s="194"/>
      <c r="DZ377" s="47"/>
      <c r="EA377" s="47"/>
      <c r="EB377" s="194"/>
      <c r="EC377" s="47"/>
      <c r="ED377" s="195"/>
      <c r="EE377" s="195"/>
      <c r="EF377" s="195"/>
      <c r="EG377" s="195"/>
      <c r="EH377" s="195"/>
      <c r="EI377" s="196"/>
      <c r="EJ377" s="201">
        <f t="shared" si="22"/>
        <v>1.9685000000000001</v>
      </c>
      <c r="EK377" s="202">
        <v>2</v>
      </c>
      <c r="EL377" s="355"/>
      <c r="FA377" s="251">
        <f t="shared" si="20"/>
        <v>1.55</v>
      </c>
    </row>
    <row r="378" spans="1:157" s="89" customFormat="1" ht="20.149999999999999" customHeight="1" x14ac:dyDescent="0.35">
      <c r="A378" s="2"/>
      <c r="B378" s="47" t="s">
        <v>1086</v>
      </c>
      <c r="C378" s="47" t="s">
        <v>1429</v>
      </c>
      <c r="D378" s="252" t="s">
        <v>299</v>
      </c>
      <c r="E378" s="2" t="s">
        <v>70</v>
      </c>
      <c r="F378" s="2" t="s">
        <v>60</v>
      </c>
      <c r="G378" s="375" t="s">
        <v>32</v>
      </c>
      <c r="H378" s="407">
        <v>28</v>
      </c>
      <c r="I378" s="47"/>
      <c r="J378" s="47"/>
      <c r="K378" s="47"/>
      <c r="L378" s="47">
        <v>33</v>
      </c>
      <c r="M378" s="47"/>
      <c r="N378" s="194"/>
      <c r="O378" s="194"/>
      <c r="P378" s="194"/>
      <c r="Q378" s="194"/>
      <c r="R378" s="47"/>
      <c r="S378" s="194"/>
      <c r="T378" s="47"/>
      <c r="U378" s="194"/>
      <c r="V378" s="47"/>
      <c r="W378" s="194"/>
      <c r="X378" s="47"/>
      <c r="Y378" s="194"/>
      <c r="Z378" s="194"/>
      <c r="AA378" s="47"/>
      <c r="AB378" s="47"/>
      <c r="AC378" s="47"/>
      <c r="AD378" s="47"/>
      <c r="AE378" s="194"/>
      <c r="AF378" s="194"/>
      <c r="AG378" s="194"/>
      <c r="AH378" s="355"/>
      <c r="AI378" s="47">
        <v>33</v>
      </c>
      <c r="AJ378" s="223"/>
      <c r="AK378" s="47"/>
      <c r="AL378" s="47">
        <v>33</v>
      </c>
      <c r="AM378" s="47">
        <v>33</v>
      </c>
      <c r="AN378" s="47"/>
      <c r="AO378" s="47"/>
      <c r="AP378" s="194"/>
      <c r="AQ378" s="47">
        <v>33</v>
      </c>
      <c r="AR378" s="47"/>
      <c r="AS378" s="47">
        <v>33</v>
      </c>
      <c r="AT378" s="194">
        <v>33</v>
      </c>
      <c r="AU378" s="194"/>
      <c r="AV378" s="194"/>
      <c r="AW378" s="194"/>
      <c r="AX378" s="194"/>
      <c r="AY378" s="194">
        <v>33</v>
      </c>
      <c r="AZ378" s="194"/>
      <c r="BA378" s="194"/>
      <c r="BB378" s="194"/>
      <c r="BC378" s="194"/>
      <c r="BD378" s="194"/>
      <c r="BE378" s="194"/>
      <c r="BF378" s="194"/>
      <c r="BG378" s="194"/>
      <c r="BH378" s="194"/>
      <c r="BI378" s="194"/>
      <c r="BJ378" s="194"/>
      <c r="BK378" s="194"/>
      <c r="BL378" s="194"/>
      <c r="BM378" s="194"/>
      <c r="BN378" s="194"/>
      <c r="BO378" s="194"/>
      <c r="BP378" s="194"/>
      <c r="BQ378" s="47"/>
      <c r="BR378" s="194"/>
      <c r="BS378" s="47"/>
      <c r="BT378" s="47">
        <v>34</v>
      </c>
      <c r="BU378" s="47"/>
      <c r="BV378" s="47">
        <v>35</v>
      </c>
      <c r="BW378" s="47"/>
      <c r="BX378" s="194"/>
      <c r="BY378" s="194"/>
      <c r="BZ378" s="194"/>
      <c r="CA378" s="194"/>
      <c r="CB378" s="194"/>
      <c r="CC378" s="47"/>
      <c r="CD378" s="47"/>
      <c r="CE378" s="47"/>
      <c r="CF378" s="47"/>
      <c r="CG378" s="47"/>
      <c r="CH378" s="47"/>
      <c r="CI378" s="47"/>
      <c r="CJ378" s="47"/>
      <c r="CK378" s="224"/>
      <c r="CL378" s="194"/>
      <c r="CM378" s="47"/>
      <c r="CN378" s="47"/>
      <c r="CO378" s="47"/>
      <c r="CP378" s="47">
        <v>34</v>
      </c>
      <c r="CQ378" s="47">
        <v>33</v>
      </c>
      <c r="CR378" s="47"/>
      <c r="CS378" s="47"/>
      <c r="CT378" s="47"/>
      <c r="CU378" s="47"/>
      <c r="CV378" s="47">
        <v>33</v>
      </c>
      <c r="CW378" s="47"/>
      <c r="CX378" s="194"/>
      <c r="CY378" s="47"/>
      <c r="CZ378" s="47">
        <v>34</v>
      </c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198"/>
      <c r="DX378" s="47"/>
      <c r="DY378" s="194"/>
      <c r="DZ378" s="47"/>
      <c r="EA378" s="47"/>
      <c r="EB378" s="194"/>
      <c r="EC378" s="47"/>
      <c r="ED378" s="195"/>
      <c r="EE378" s="195"/>
      <c r="EF378" s="195"/>
      <c r="EG378" s="195"/>
      <c r="EH378" s="195">
        <v>30</v>
      </c>
      <c r="EI378" s="196">
        <f t="shared" si="21"/>
        <v>840</v>
      </c>
      <c r="EJ378" s="201">
        <f t="shared" si="22"/>
        <v>35.56</v>
      </c>
      <c r="EK378" s="202">
        <v>31</v>
      </c>
      <c r="EL378" s="355"/>
      <c r="FA378" s="251">
        <f t="shared" si="20"/>
        <v>28</v>
      </c>
    </row>
    <row r="379" spans="1:157" s="89" customFormat="1" ht="20.149999999999999" customHeight="1" x14ac:dyDescent="0.35">
      <c r="A379" s="2"/>
      <c r="B379" s="373" t="s">
        <v>1087</v>
      </c>
      <c r="C379" s="47" t="s">
        <v>1429</v>
      </c>
      <c r="D379" s="386" t="s">
        <v>299</v>
      </c>
      <c r="E379" s="374" t="s">
        <v>299</v>
      </c>
      <c r="F379" s="374" t="s">
        <v>60</v>
      </c>
      <c r="G379" s="2" t="s">
        <v>32</v>
      </c>
      <c r="H379" s="407">
        <v>29</v>
      </c>
      <c r="I379" s="47"/>
      <c r="J379" s="47"/>
      <c r="K379" s="47"/>
      <c r="L379" s="47"/>
      <c r="M379" s="47"/>
      <c r="N379" s="194"/>
      <c r="O379" s="194"/>
      <c r="P379" s="194"/>
      <c r="Q379" s="194"/>
      <c r="R379" s="47"/>
      <c r="S379" s="194">
        <v>30</v>
      </c>
      <c r="T379" s="47"/>
      <c r="U379" s="194"/>
      <c r="V379" s="47"/>
      <c r="W379" s="194"/>
      <c r="X379" s="47"/>
      <c r="Y379" s="194"/>
      <c r="Z379" s="194"/>
      <c r="AA379" s="47"/>
      <c r="AB379" s="47"/>
      <c r="AC379" s="47"/>
      <c r="AD379" s="47"/>
      <c r="AE379" s="194"/>
      <c r="AF379" s="194"/>
      <c r="AG379" s="194"/>
      <c r="AH379" s="355"/>
      <c r="AI379" s="47"/>
      <c r="AJ379" s="223"/>
      <c r="AK379" s="47"/>
      <c r="AL379" s="47"/>
      <c r="AM379" s="47"/>
      <c r="AN379" s="47"/>
      <c r="AO379" s="47"/>
      <c r="AP379" s="194"/>
      <c r="AQ379" s="47"/>
      <c r="AR379" s="47">
        <v>33</v>
      </c>
      <c r="AS379" s="47"/>
      <c r="AT379" s="194"/>
      <c r="AU379" s="194"/>
      <c r="AV379" s="194"/>
      <c r="AW379" s="194"/>
      <c r="AX379" s="194"/>
      <c r="AY379" s="194"/>
      <c r="AZ379" s="194"/>
      <c r="BA379" s="194"/>
      <c r="BB379" s="194"/>
      <c r="BC379" s="194"/>
      <c r="BD379" s="194"/>
      <c r="BE379" s="194"/>
      <c r="BF379" s="194"/>
      <c r="BG379" s="194"/>
      <c r="BH379" s="194"/>
      <c r="BI379" s="194"/>
      <c r="BJ379" s="194"/>
      <c r="BK379" s="194"/>
      <c r="BL379" s="194"/>
      <c r="BM379" s="194">
        <v>33</v>
      </c>
      <c r="BN379" s="194"/>
      <c r="BO379" s="194"/>
      <c r="BP379" s="194"/>
      <c r="BQ379" s="47">
        <v>33</v>
      </c>
      <c r="BR379" s="194"/>
      <c r="BS379" s="47">
        <v>33</v>
      </c>
      <c r="BT379" s="47"/>
      <c r="BU379" s="47"/>
      <c r="BV379" s="47"/>
      <c r="BW379" s="47"/>
      <c r="BX379" s="194"/>
      <c r="BY379" s="194"/>
      <c r="BZ379" s="194"/>
      <c r="CA379" s="194"/>
      <c r="CB379" s="194"/>
      <c r="CC379" s="47"/>
      <c r="CD379" s="47"/>
      <c r="CE379" s="47"/>
      <c r="CF379" s="47"/>
      <c r="CG379" s="47"/>
      <c r="CH379" s="47"/>
      <c r="CI379" s="47"/>
      <c r="CJ379" s="47"/>
      <c r="CK379" s="224"/>
      <c r="CL379" s="194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194"/>
      <c r="CY379" s="47"/>
      <c r="CZ379" s="47">
        <v>33</v>
      </c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>
        <v>33</v>
      </c>
      <c r="DL379" s="47"/>
      <c r="DM379" s="47"/>
      <c r="DN379" s="47"/>
      <c r="DO379" s="47"/>
      <c r="DP379" s="47"/>
      <c r="DQ379" s="47">
        <v>33</v>
      </c>
      <c r="DR379" s="47"/>
      <c r="DS379" s="47"/>
      <c r="DT379" s="47"/>
      <c r="DU379" s="47"/>
      <c r="DV379" s="47">
        <v>33</v>
      </c>
      <c r="DW379" s="198"/>
      <c r="DX379" s="47"/>
      <c r="DY379" s="194"/>
      <c r="DZ379" s="47"/>
      <c r="EA379" s="47"/>
      <c r="EB379" s="194"/>
      <c r="EC379" s="47"/>
      <c r="ED379" s="195"/>
      <c r="EE379" s="195"/>
      <c r="EF379" s="195">
        <v>33</v>
      </c>
      <c r="EG379" s="195"/>
      <c r="EH379" s="195">
        <v>27</v>
      </c>
      <c r="EI379" s="196">
        <f t="shared" si="21"/>
        <v>783</v>
      </c>
      <c r="EJ379" s="201">
        <f t="shared" si="22"/>
        <v>36.83</v>
      </c>
      <c r="EK379" s="202">
        <v>31</v>
      </c>
      <c r="EL379" s="355"/>
      <c r="FA379" s="251">
        <f t="shared" si="20"/>
        <v>29</v>
      </c>
    </row>
    <row r="380" spans="1:157" s="89" customFormat="1" ht="20.149999999999999" customHeight="1" x14ac:dyDescent="0.35">
      <c r="A380" s="2"/>
      <c r="B380" s="380" t="s">
        <v>1088</v>
      </c>
      <c r="C380" s="47" t="s">
        <v>1429</v>
      </c>
      <c r="D380" s="381" t="s">
        <v>299</v>
      </c>
      <c r="E380" s="382" t="s">
        <v>1165</v>
      </c>
      <c r="F380" s="382" t="s">
        <v>1559</v>
      </c>
      <c r="G380" s="2" t="s">
        <v>32</v>
      </c>
      <c r="H380" s="57">
        <v>30</v>
      </c>
      <c r="I380" s="47"/>
      <c r="J380" s="47"/>
      <c r="K380" s="47"/>
      <c r="L380" s="47"/>
      <c r="M380" s="47"/>
      <c r="N380" s="194"/>
      <c r="O380" s="194"/>
      <c r="P380" s="194"/>
      <c r="Q380" s="194"/>
      <c r="R380" s="47"/>
      <c r="S380" s="194"/>
      <c r="T380" s="47"/>
      <c r="U380" s="194"/>
      <c r="V380" s="47"/>
      <c r="W380" s="194"/>
      <c r="X380" s="47"/>
      <c r="Y380" s="194"/>
      <c r="Z380" s="194"/>
      <c r="AA380" s="47"/>
      <c r="AB380" s="47"/>
      <c r="AC380" s="47"/>
      <c r="AD380" s="47"/>
      <c r="AE380" s="194"/>
      <c r="AF380" s="194"/>
      <c r="AG380" s="194"/>
      <c r="AH380" s="355"/>
      <c r="AI380" s="47"/>
      <c r="AJ380" s="223"/>
      <c r="AK380" s="47"/>
      <c r="AL380" s="47"/>
      <c r="AM380" s="47"/>
      <c r="AN380" s="47"/>
      <c r="AO380" s="47"/>
      <c r="AP380" s="194"/>
      <c r="AQ380" s="47"/>
      <c r="AR380" s="47"/>
      <c r="AS380" s="47"/>
      <c r="AT380" s="194"/>
      <c r="AU380" s="194"/>
      <c r="AV380" s="194"/>
      <c r="AW380" s="194"/>
      <c r="AX380" s="194"/>
      <c r="AY380" s="194"/>
      <c r="AZ380" s="194"/>
      <c r="BA380" s="194"/>
      <c r="BB380" s="194"/>
      <c r="BC380" s="194"/>
      <c r="BD380" s="194"/>
      <c r="BE380" s="194"/>
      <c r="BF380" s="194"/>
      <c r="BG380" s="194"/>
      <c r="BH380" s="194"/>
      <c r="BI380" s="194"/>
      <c r="BJ380" s="194"/>
      <c r="BK380" s="194"/>
      <c r="BL380" s="194"/>
      <c r="BM380" s="194"/>
      <c r="BN380" s="194"/>
      <c r="BO380" s="194"/>
      <c r="BP380" s="194"/>
      <c r="BQ380" s="47"/>
      <c r="BR380" s="194"/>
      <c r="BS380" s="47"/>
      <c r="BT380" s="47">
        <v>39</v>
      </c>
      <c r="BU380" s="47">
        <v>39</v>
      </c>
      <c r="BV380" s="47"/>
      <c r="BW380" s="47"/>
      <c r="BX380" s="194"/>
      <c r="BY380" s="194"/>
      <c r="BZ380" s="194"/>
      <c r="CA380" s="194"/>
      <c r="CB380" s="194"/>
      <c r="CC380" s="47"/>
      <c r="CD380" s="47"/>
      <c r="CE380" s="47"/>
      <c r="CF380" s="47"/>
      <c r="CG380" s="47"/>
      <c r="CH380" s="47"/>
      <c r="CI380" s="47"/>
      <c r="CJ380" s="47"/>
      <c r="CK380" s="224"/>
      <c r="CL380" s="194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194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198"/>
      <c r="DX380" s="47"/>
      <c r="DY380" s="194"/>
      <c r="DZ380" s="47"/>
      <c r="EA380" s="47"/>
      <c r="EB380" s="194"/>
      <c r="EC380" s="47"/>
      <c r="ED380" s="195"/>
      <c r="EE380" s="195"/>
      <c r="EF380" s="195"/>
      <c r="EG380" s="195"/>
      <c r="EH380" s="195">
        <v>1</v>
      </c>
      <c r="EI380" s="196">
        <f t="shared" si="21"/>
        <v>30</v>
      </c>
      <c r="EJ380" s="201">
        <f t="shared" si="22"/>
        <v>38.1</v>
      </c>
      <c r="EK380" s="202">
        <f t="shared" si="23"/>
        <v>39</v>
      </c>
      <c r="EL380" s="355"/>
      <c r="FA380" s="251">
        <f t="shared" si="20"/>
        <v>30</v>
      </c>
    </row>
    <row r="381" spans="1:157" s="89" customFormat="1" ht="20.149999999999999" customHeight="1" x14ac:dyDescent="0.35">
      <c r="A381" s="47"/>
      <c r="B381" s="47" t="s">
        <v>1089</v>
      </c>
      <c r="C381" s="47" t="s">
        <v>200</v>
      </c>
      <c r="D381" s="252" t="s">
        <v>637</v>
      </c>
      <c r="E381" s="2" t="s">
        <v>33</v>
      </c>
      <c r="F381" s="2" t="s">
        <v>290</v>
      </c>
      <c r="G381" s="375" t="s">
        <v>34</v>
      </c>
      <c r="H381" s="328">
        <v>40</v>
      </c>
      <c r="I381" s="47"/>
      <c r="J381" s="47"/>
      <c r="K381" s="47"/>
      <c r="L381" s="47"/>
      <c r="M381" s="47">
        <v>48</v>
      </c>
      <c r="N381" s="194"/>
      <c r="O381" s="194"/>
      <c r="P381" s="194"/>
      <c r="Q381" s="194"/>
      <c r="R381" s="47"/>
      <c r="S381" s="194"/>
      <c r="T381" s="47"/>
      <c r="U381" s="194"/>
      <c r="V381" s="47"/>
      <c r="W381" s="194"/>
      <c r="X381" s="47"/>
      <c r="Y381" s="194"/>
      <c r="Z381" s="194"/>
      <c r="AA381" s="47"/>
      <c r="AB381" s="47"/>
      <c r="AC381" s="47"/>
      <c r="AD381" s="47"/>
      <c r="AE381" s="194"/>
      <c r="AF381" s="194"/>
      <c r="AG381" s="194"/>
      <c r="AH381" s="355"/>
      <c r="AI381" s="47"/>
      <c r="AJ381" s="223"/>
      <c r="AK381" s="47"/>
      <c r="AL381" s="47"/>
      <c r="AM381" s="47"/>
      <c r="AN381" s="47"/>
      <c r="AO381" s="47"/>
      <c r="AP381" s="194"/>
      <c r="AQ381" s="47"/>
      <c r="AR381" s="47"/>
      <c r="AS381" s="47"/>
      <c r="AT381" s="194"/>
      <c r="AU381" s="194"/>
      <c r="AV381" s="194"/>
      <c r="AW381" s="194"/>
      <c r="AX381" s="194"/>
      <c r="AY381" s="194"/>
      <c r="AZ381" s="194"/>
      <c r="BA381" s="194"/>
      <c r="BB381" s="194"/>
      <c r="BC381" s="194"/>
      <c r="BD381" s="194"/>
      <c r="BE381" s="194"/>
      <c r="BF381" s="194"/>
      <c r="BG381" s="194"/>
      <c r="BH381" s="194"/>
      <c r="BI381" s="194"/>
      <c r="BJ381" s="194"/>
      <c r="BK381" s="194"/>
      <c r="BL381" s="194">
        <v>48</v>
      </c>
      <c r="BM381" s="194"/>
      <c r="BN381" s="194"/>
      <c r="BO381" s="194"/>
      <c r="BP381" s="194"/>
      <c r="BQ381" s="47"/>
      <c r="BR381" s="194"/>
      <c r="BS381" s="47"/>
      <c r="BT381" s="47"/>
      <c r="BU381" s="47"/>
      <c r="BV381" s="47"/>
      <c r="BW381" s="47"/>
      <c r="BX381" s="194"/>
      <c r="BY381" s="194"/>
      <c r="BZ381" s="194"/>
      <c r="CA381" s="194"/>
      <c r="CB381" s="194"/>
      <c r="CC381" s="47"/>
      <c r="CD381" s="47"/>
      <c r="CE381" s="47"/>
      <c r="CF381" s="47"/>
      <c r="CG381" s="47"/>
      <c r="CH381" s="47"/>
      <c r="CI381" s="47"/>
      <c r="CJ381" s="47"/>
      <c r="CK381" s="224"/>
      <c r="CL381" s="194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194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198"/>
      <c r="DX381" s="47"/>
      <c r="DY381" s="194"/>
      <c r="DZ381" s="47"/>
      <c r="EA381" s="47"/>
      <c r="EB381" s="194"/>
      <c r="EC381" s="47"/>
      <c r="ED381" s="195"/>
      <c r="EE381" s="195"/>
      <c r="EF381" s="195"/>
      <c r="EG381" s="195"/>
      <c r="EH381" s="195">
        <v>12</v>
      </c>
      <c r="EI381" s="196">
        <f t="shared" si="21"/>
        <v>480</v>
      </c>
      <c r="EJ381" s="201">
        <f t="shared" si="22"/>
        <v>50.8</v>
      </c>
      <c r="EK381" s="202">
        <f t="shared" si="23"/>
        <v>48</v>
      </c>
      <c r="EL381" s="355"/>
      <c r="FA381" s="251">
        <f t="shared" si="20"/>
        <v>40</v>
      </c>
    </row>
    <row r="382" spans="1:157" s="89" customFormat="1" ht="20.149999999999999" customHeight="1" x14ac:dyDescent="0.35">
      <c r="A382" s="47"/>
      <c r="B382" s="373" t="s">
        <v>1090</v>
      </c>
      <c r="C382" s="373" t="s">
        <v>200</v>
      </c>
      <c r="D382" s="386" t="s">
        <v>637</v>
      </c>
      <c r="E382" s="374" t="s">
        <v>33</v>
      </c>
      <c r="F382" s="374" t="s">
        <v>1560</v>
      </c>
      <c r="G382" s="2" t="s">
        <v>34</v>
      </c>
      <c r="H382" s="328">
        <f>H381/50</f>
        <v>0.8</v>
      </c>
      <c r="I382" s="47"/>
      <c r="J382" s="47"/>
      <c r="K382" s="47"/>
      <c r="L382" s="47"/>
      <c r="M382" s="47"/>
      <c r="N382" s="194"/>
      <c r="O382" s="194"/>
      <c r="P382" s="194"/>
      <c r="Q382" s="194"/>
      <c r="R382" s="47"/>
      <c r="S382" s="198">
        <v>1</v>
      </c>
      <c r="T382" s="228"/>
      <c r="U382" s="194"/>
      <c r="V382" s="47"/>
      <c r="W382" s="194"/>
      <c r="X382" s="47"/>
      <c r="Y382" s="194"/>
      <c r="Z382" s="194"/>
      <c r="AA382" s="47"/>
      <c r="AB382" s="47"/>
      <c r="AC382" s="47"/>
      <c r="AD382" s="47"/>
      <c r="AE382" s="194"/>
      <c r="AF382" s="194"/>
      <c r="AG382" s="194"/>
      <c r="AH382" s="355"/>
      <c r="AI382" s="47"/>
      <c r="AJ382" s="223"/>
      <c r="AK382" s="47"/>
      <c r="AL382" s="47"/>
      <c r="AM382" s="47"/>
      <c r="AN382" s="47"/>
      <c r="AO382" s="47"/>
      <c r="AP382" s="194"/>
      <c r="AQ382" s="47"/>
      <c r="AR382" s="47"/>
      <c r="AS382" s="47"/>
      <c r="AT382" s="194"/>
      <c r="AU382" s="194"/>
      <c r="AV382" s="194"/>
      <c r="AW382" s="194"/>
      <c r="AX382" s="194"/>
      <c r="AY382" s="194"/>
      <c r="AZ382" s="194"/>
      <c r="BA382" s="194"/>
      <c r="BB382" s="194"/>
      <c r="BC382" s="194"/>
      <c r="BD382" s="194"/>
      <c r="BE382" s="194"/>
      <c r="BF382" s="194"/>
      <c r="BG382" s="194"/>
      <c r="BH382" s="194"/>
      <c r="BI382" s="194"/>
      <c r="BJ382" s="194"/>
      <c r="BK382" s="194"/>
      <c r="BL382" s="194"/>
      <c r="BM382" s="194"/>
      <c r="BN382" s="194"/>
      <c r="BO382" s="194"/>
      <c r="BP382" s="194"/>
      <c r="BQ382" s="47"/>
      <c r="BR382" s="194"/>
      <c r="BS382" s="47"/>
      <c r="BT382" s="47"/>
      <c r="BU382" s="47"/>
      <c r="BV382" s="47">
        <v>1.1000000000000001</v>
      </c>
      <c r="BW382" s="47"/>
      <c r="BX382" s="194"/>
      <c r="BY382" s="194"/>
      <c r="BZ382" s="194"/>
      <c r="CA382" s="194"/>
      <c r="CB382" s="194"/>
      <c r="CC382" s="47"/>
      <c r="CD382" s="47"/>
      <c r="CE382" s="47"/>
      <c r="CF382" s="47"/>
      <c r="CG382" s="47"/>
      <c r="CH382" s="47"/>
      <c r="CI382" s="47"/>
      <c r="CJ382" s="47"/>
      <c r="CK382" s="224"/>
      <c r="CL382" s="194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194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>
        <v>0.85</v>
      </c>
      <c r="DV382" s="47"/>
      <c r="DW382" s="198"/>
      <c r="DX382" s="47"/>
      <c r="DY382" s="194"/>
      <c r="DZ382" s="47"/>
      <c r="EA382" s="47"/>
      <c r="EB382" s="194"/>
      <c r="EC382" s="47"/>
      <c r="ED382" s="195"/>
      <c r="EE382" s="195"/>
      <c r="EF382" s="195"/>
      <c r="EG382" s="195"/>
      <c r="EH382" s="195">
        <v>30</v>
      </c>
      <c r="EI382" s="196">
        <f t="shared" si="21"/>
        <v>24</v>
      </c>
      <c r="EJ382" s="201">
        <f t="shared" si="22"/>
        <v>1.016</v>
      </c>
      <c r="EK382" s="202">
        <f t="shared" si="23"/>
        <v>0.98333333333333339</v>
      </c>
      <c r="EL382" s="355"/>
      <c r="FA382" s="251">
        <f t="shared" si="20"/>
        <v>0.8</v>
      </c>
    </row>
    <row r="383" spans="1:157" s="89" customFormat="1" ht="20.149999999999999" customHeight="1" x14ac:dyDescent="0.35">
      <c r="A383" s="47"/>
      <c r="B383" s="47" t="s">
        <v>1091</v>
      </c>
      <c r="C383" s="47" t="s">
        <v>203</v>
      </c>
      <c r="D383" s="252" t="s">
        <v>637</v>
      </c>
      <c r="E383" s="2" t="s">
        <v>1274</v>
      </c>
      <c r="F383" s="2" t="s">
        <v>291</v>
      </c>
      <c r="G383" s="2" t="s">
        <v>71</v>
      </c>
      <c r="H383" s="57">
        <v>45</v>
      </c>
      <c r="I383" s="47"/>
      <c r="J383" s="47"/>
      <c r="K383" s="47"/>
      <c r="L383" s="47"/>
      <c r="M383" s="47"/>
      <c r="N383" s="194"/>
      <c r="O383" s="194"/>
      <c r="P383" s="194"/>
      <c r="Q383" s="194"/>
      <c r="R383" s="47"/>
      <c r="S383" s="194"/>
      <c r="T383" s="47"/>
      <c r="U383" s="194"/>
      <c r="V383" s="47"/>
      <c r="W383" s="194"/>
      <c r="X383" s="47"/>
      <c r="Y383" s="194"/>
      <c r="Z383" s="194"/>
      <c r="AA383" s="47"/>
      <c r="AB383" s="47"/>
      <c r="AC383" s="47"/>
      <c r="AD383" s="47"/>
      <c r="AE383" s="194"/>
      <c r="AF383" s="194"/>
      <c r="AG383" s="194"/>
      <c r="AH383" s="355"/>
      <c r="AI383" s="47"/>
      <c r="AJ383" s="223"/>
      <c r="AK383" s="47"/>
      <c r="AL383" s="47"/>
      <c r="AM383" s="47"/>
      <c r="AN383" s="47"/>
      <c r="AO383" s="47"/>
      <c r="AP383" s="194"/>
      <c r="AQ383" s="47"/>
      <c r="AR383" s="47"/>
      <c r="AS383" s="47"/>
      <c r="AT383" s="194"/>
      <c r="AU383" s="194"/>
      <c r="AV383" s="194"/>
      <c r="AW383" s="194"/>
      <c r="AX383" s="194"/>
      <c r="AY383" s="194"/>
      <c r="AZ383" s="194"/>
      <c r="BA383" s="194"/>
      <c r="BB383" s="194"/>
      <c r="BC383" s="194"/>
      <c r="BD383" s="194"/>
      <c r="BE383" s="194"/>
      <c r="BF383" s="194"/>
      <c r="BG383" s="194"/>
      <c r="BH383" s="194"/>
      <c r="BI383" s="194"/>
      <c r="BJ383" s="194"/>
      <c r="BK383" s="194"/>
      <c r="BL383" s="194"/>
      <c r="BM383" s="194"/>
      <c r="BN383" s="194"/>
      <c r="BO383" s="194"/>
      <c r="BP383" s="194"/>
      <c r="BQ383" s="47"/>
      <c r="BR383" s="194"/>
      <c r="BS383" s="47"/>
      <c r="BT383" s="47"/>
      <c r="BU383" s="47"/>
      <c r="BV383" s="47"/>
      <c r="BW383" s="47"/>
      <c r="BX383" s="194"/>
      <c r="BY383" s="194"/>
      <c r="BZ383" s="194"/>
      <c r="CA383" s="194"/>
      <c r="CB383" s="194"/>
      <c r="CC383" s="47"/>
      <c r="CD383" s="47"/>
      <c r="CE383" s="47"/>
      <c r="CF383" s="47"/>
      <c r="CG383" s="47"/>
      <c r="CH383" s="47"/>
      <c r="CI383" s="47"/>
      <c r="CJ383" s="47"/>
      <c r="CK383" s="224"/>
      <c r="CL383" s="194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194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198"/>
      <c r="DX383" s="47"/>
      <c r="DY383" s="194"/>
      <c r="DZ383" s="47"/>
      <c r="EA383" s="47"/>
      <c r="EB383" s="194"/>
      <c r="EC383" s="47"/>
      <c r="ED383" s="195"/>
      <c r="EE383" s="195"/>
      <c r="EF383" s="195"/>
      <c r="EG383" s="195"/>
      <c r="EH383" s="195">
        <v>3</v>
      </c>
      <c r="EI383" s="196">
        <f t="shared" si="21"/>
        <v>135</v>
      </c>
      <c r="EJ383" s="201">
        <f t="shared" si="22"/>
        <v>57.15</v>
      </c>
      <c r="EK383" s="202">
        <v>47</v>
      </c>
      <c r="EL383" s="355"/>
      <c r="FA383" s="251">
        <f t="shared" si="20"/>
        <v>45</v>
      </c>
    </row>
    <row r="384" spans="1:157" s="89" customFormat="1" ht="20.149999999999999" customHeight="1" x14ac:dyDescent="0.35">
      <c r="A384" s="47"/>
      <c r="B384" s="47" t="s">
        <v>1273</v>
      </c>
      <c r="C384" s="47" t="s">
        <v>203</v>
      </c>
      <c r="D384" s="252" t="s">
        <v>637</v>
      </c>
      <c r="E384" s="2" t="s">
        <v>1274</v>
      </c>
      <c r="F384" s="2" t="s">
        <v>1275</v>
      </c>
      <c r="G384" s="2" t="s">
        <v>912</v>
      </c>
      <c r="H384" s="57">
        <v>1.26</v>
      </c>
      <c r="I384" s="47"/>
      <c r="J384" s="47"/>
      <c r="K384" s="47"/>
      <c r="L384" s="47"/>
      <c r="M384" s="47"/>
      <c r="N384" s="194"/>
      <c r="O384" s="194"/>
      <c r="P384" s="194"/>
      <c r="Q384" s="194"/>
      <c r="R384" s="47"/>
      <c r="S384" s="194"/>
      <c r="T384" s="47"/>
      <c r="U384" s="194"/>
      <c r="V384" s="47"/>
      <c r="W384" s="194"/>
      <c r="X384" s="47"/>
      <c r="Y384" s="194"/>
      <c r="Z384" s="194"/>
      <c r="AA384" s="47"/>
      <c r="AB384" s="47"/>
      <c r="AC384" s="47"/>
      <c r="AD384" s="47"/>
      <c r="AE384" s="194"/>
      <c r="AF384" s="194"/>
      <c r="AG384" s="194"/>
      <c r="AH384" s="355"/>
      <c r="AI384" s="47"/>
      <c r="AJ384" s="223"/>
      <c r="AK384" s="47"/>
      <c r="AL384" s="47"/>
      <c r="AM384" s="47"/>
      <c r="AN384" s="47"/>
      <c r="AO384" s="47"/>
      <c r="AP384" s="194"/>
      <c r="AQ384" s="47"/>
      <c r="AR384" s="47"/>
      <c r="AS384" s="47"/>
      <c r="AT384" s="194"/>
      <c r="AU384" s="194"/>
      <c r="AV384" s="194"/>
      <c r="AW384" s="194"/>
      <c r="AX384" s="194"/>
      <c r="AY384" s="194"/>
      <c r="AZ384" s="194"/>
      <c r="BA384" s="194"/>
      <c r="BB384" s="194"/>
      <c r="BC384" s="194"/>
      <c r="BD384" s="194"/>
      <c r="BE384" s="194"/>
      <c r="BF384" s="194"/>
      <c r="BG384" s="194"/>
      <c r="BH384" s="194"/>
      <c r="BI384" s="194"/>
      <c r="BJ384" s="194"/>
      <c r="BK384" s="194"/>
      <c r="BL384" s="194"/>
      <c r="BM384" s="194"/>
      <c r="BN384" s="194"/>
      <c r="BO384" s="194"/>
      <c r="BP384" s="194"/>
      <c r="BQ384" s="47"/>
      <c r="BR384" s="194"/>
      <c r="BS384" s="47"/>
      <c r="BT384" s="47"/>
      <c r="BU384" s="47"/>
      <c r="BV384" s="47"/>
      <c r="BW384" s="47"/>
      <c r="BX384" s="194"/>
      <c r="BY384" s="194"/>
      <c r="BZ384" s="194"/>
      <c r="CA384" s="194"/>
      <c r="CB384" s="194"/>
      <c r="CC384" s="47"/>
      <c r="CD384" s="47"/>
      <c r="CE384" s="47"/>
      <c r="CF384" s="47"/>
      <c r="CG384" s="47"/>
      <c r="CH384" s="47"/>
      <c r="CI384" s="47"/>
      <c r="CJ384" s="47"/>
      <c r="CK384" s="224"/>
      <c r="CL384" s="194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194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198"/>
      <c r="DX384" s="47"/>
      <c r="DY384" s="194"/>
      <c r="DZ384" s="47"/>
      <c r="EA384" s="47"/>
      <c r="EB384" s="194"/>
      <c r="EC384" s="47"/>
      <c r="ED384" s="195"/>
      <c r="EE384" s="195"/>
      <c r="EF384" s="195"/>
      <c r="EG384" s="195"/>
      <c r="EH384" s="195"/>
      <c r="EI384" s="196"/>
      <c r="EJ384" s="201"/>
      <c r="EK384" s="202"/>
      <c r="EL384" s="355"/>
      <c r="FA384" s="251">
        <f t="shared" si="20"/>
        <v>1.26</v>
      </c>
    </row>
    <row r="385" spans="1:157" s="89" customFormat="1" ht="20.149999999999999" customHeight="1" x14ac:dyDescent="0.35">
      <c r="A385" s="47"/>
      <c r="B385" s="380" t="s">
        <v>1092</v>
      </c>
      <c r="C385" s="380" t="s">
        <v>1561</v>
      </c>
      <c r="D385" s="382" t="s">
        <v>1562</v>
      </c>
      <c r="E385" s="382" t="s">
        <v>33</v>
      </c>
      <c r="F385" s="382" t="s">
        <v>1563</v>
      </c>
      <c r="G385" s="2" t="s">
        <v>794</v>
      </c>
      <c r="H385" s="328">
        <f>65/80</f>
        <v>0.8125</v>
      </c>
      <c r="I385" s="47"/>
      <c r="J385" s="47"/>
      <c r="K385" s="47"/>
      <c r="L385" s="47"/>
      <c r="M385" s="47"/>
      <c r="N385" s="194"/>
      <c r="O385" s="194"/>
      <c r="P385" s="194"/>
      <c r="Q385" s="194"/>
      <c r="R385" s="47"/>
      <c r="S385" s="194"/>
      <c r="T385" s="47"/>
      <c r="U385" s="194"/>
      <c r="V385" s="47"/>
      <c r="W385" s="194"/>
      <c r="X385" s="47"/>
      <c r="Y385" s="194"/>
      <c r="Z385" s="194"/>
      <c r="AA385" s="47"/>
      <c r="AB385" s="47"/>
      <c r="AC385" s="47"/>
      <c r="AD385" s="47"/>
      <c r="AE385" s="194"/>
      <c r="AF385" s="194"/>
      <c r="AG385" s="194"/>
      <c r="AH385" s="355"/>
      <c r="AI385" s="47"/>
      <c r="AJ385" s="198"/>
      <c r="AK385" s="47"/>
      <c r="AL385" s="47"/>
      <c r="AM385" s="47"/>
      <c r="AN385" s="47"/>
      <c r="AO385" s="47"/>
      <c r="AP385" s="194"/>
      <c r="AQ385" s="47"/>
      <c r="AR385" s="47"/>
      <c r="AS385" s="47"/>
      <c r="AT385" s="194"/>
      <c r="AU385" s="194"/>
      <c r="AV385" s="194"/>
      <c r="AW385" s="194"/>
      <c r="AX385" s="194"/>
      <c r="AY385" s="194"/>
      <c r="AZ385" s="194"/>
      <c r="BA385" s="194"/>
      <c r="BB385" s="194"/>
      <c r="BC385" s="194"/>
      <c r="BD385" s="194"/>
      <c r="BE385" s="194"/>
      <c r="BF385" s="194"/>
      <c r="BG385" s="194"/>
      <c r="BH385" s="194"/>
      <c r="BI385" s="194"/>
      <c r="BJ385" s="194"/>
      <c r="BK385" s="194"/>
      <c r="BL385" s="194"/>
      <c r="BM385" s="194"/>
      <c r="BN385" s="194">
        <v>16</v>
      </c>
      <c r="BO385" s="194"/>
      <c r="BP385" s="194"/>
      <c r="BQ385" s="47"/>
      <c r="BR385" s="194"/>
      <c r="BS385" s="47"/>
      <c r="BT385" s="47"/>
      <c r="BU385" s="47"/>
      <c r="BV385" s="47"/>
      <c r="BW385" s="47"/>
      <c r="BX385" s="194"/>
      <c r="BY385" s="194"/>
      <c r="BZ385" s="194"/>
      <c r="CA385" s="194"/>
      <c r="CB385" s="194"/>
      <c r="CC385" s="47"/>
      <c r="CD385" s="47"/>
      <c r="CE385" s="47"/>
      <c r="CF385" s="47"/>
      <c r="CG385" s="47"/>
      <c r="CH385" s="47"/>
      <c r="CI385" s="47"/>
      <c r="CJ385" s="47"/>
      <c r="CK385" s="47"/>
      <c r="CL385" s="194"/>
      <c r="CM385" s="47"/>
      <c r="CN385" s="47"/>
      <c r="CO385" s="47"/>
      <c r="CP385" s="47"/>
      <c r="CQ385" s="47"/>
      <c r="CR385" s="47"/>
      <c r="CS385" s="198"/>
      <c r="CT385" s="47"/>
      <c r="CU385" s="47"/>
      <c r="CV385" s="47"/>
      <c r="CW385" s="47"/>
      <c r="CX385" s="194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198"/>
      <c r="DX385" s="47"/>
      <c r="DY385" s="198"/>
      <c r="DZ385" s="198"/>
      <c r="EA385" s="47"/>
      <c r="EB385" s="194"/>
      <c r="EC385" s="47"/>
      <c r="ED385" s="47"/>
      <c r="EE385" s="47"/>
      <c r="EF385" s="47"/>
      <c r="EG385" s="47"/>
      <c r="EH385" s="47"/>
      <c r="EI385" s="196">
        <f t="shared" si="21"/>
        <v>0</v>
      </c>
      <c r="EJ385" s="201">
        <f t="shared" si="22"/>
        <v>1.0318750000000001</v>
      </c>
      <c r="EK385" s="202">
        <f t="shared" si="23"/>
        <v>16</v>
      </c>
      <c r="EL385" s="355"/>
      <c r="FA385" s="251">
        <f t="shared" si="20"/>
        <v>0.8125</v>
      </c>
    </row>
    <row r="386" spans="1:157" s="89" customFormat="1" ht="20.149999999999999" customHeight="1" x14ac:dyDescent="0.35">
      <c r="A386" s="47"/>
      <c r="B386" s="47" t="s">
        <v>1276</v>
      </c>
      <c r="C386" s="47" t="s">
        <v>1564</v>
      </c>
      <c r="D386" s="2" t="s">
        <v>770</v>
      </c>
      <c r="E386" s="2" t="s">
        <v>54</v>
      </c>
      <c r="F386" s="2" t="s">
        <v>301</v>
      </c>
      <c r="G386" s="375" t="s">
        <v>35</v>
      </c>
      <c r="H386" s="328">
        <f>27/5</f>
        <v>5.4</v>
      </c>
      <c r="I386" s="47"/>
      <c r="J386" s="47"/>
      <c r="K386" s="47"/>
      <c r="L386" s="47"/>
      <c r="M386" s="47"/>
      <c r="N386" s="194"/>
      <c r="O386" s="194"/>
      <c r="P386" s="194"/>
      <c r="Q386" s="194"/>
      <c r="R386" s="47"/>
      <c r="S386" s="194"/>
      <c r="T386" s="47"/>
      <c r="U386" s="194"/>
      <c r="V386" s="47"/>
      <c r="W386" s="194"/>
      <c r="X386" s="47"/>
      <c r="Y386" s="194"/>
      <c r="Z386" s="194"/>
      <c r="AA386" s="47"/>
      <c r="AB386" s="47"/>
      <c r="AC386" s="47"/>
      <c r="AD386" s="47"/>
      <c r="AE386" s="194"/>
      <c r="AF386" s="194"/>
      <c r="AG386" s="194"/>
      <c r="AH386" s="355"/>
      <c r="AI386" s="47"/>
      <c r="AJ386" s="198"/>
      <c r="AK386" s="47"/>
      <c r="AL386" s="47"/>
      <c r="AM386" s="47"/>
      <c r="AN386" s="47"/>
      <c r="AO386" s="47"/>
      <c r="AP386" s="194"/>
      <c r="AQ386" s="47"/>
      <c r="AR386" s="47"/>
      <c r="AS386" s="47"/>
      <c r="AT386" s="194"/>
      <c r="AU386" s="194"/>
      <c r="AV386" s="194"/>
      <c r="AW386" s="194"/>
      <c r="AX386" s="194"/>
      <c r="AY386" s="194"/>
      <c r="AZ386" s="194"/>
      <c r="BA386" s="194"/>
      <c r="BB386" s="194"/>
      <c r="BC386" s="194"/>
      <c r="BD386" s="194"/>
      <c r="BE386" s="194"/>
      <c r="BF386" s="194"/>
      <c r="BG386" s="194"/>
      <c r="BH386" s="194"/>
      <c r="BI386" s="194"/>
      <c r="BJ386" s="194"/>
      <c r="BK386" s="194"/>
      <c r="BL386" s="194"/>
      <c r="BM386" s="194"/>
      <c r="BN386" s="194"/>
      <c r="BO386" s="194"/>
      <c r="BP386" s="194"/>
      <c r="BQ386" s="47"/>
      <c r="BR386" s="194"/>
      <c r="BS386" s="47"/>
      <c r="BT386" s="47"/>
      <c r="BU386" s="47"/>
      <c r="BV386" s="47"/>
      <c r="BW386" s="47"/>
      <c r="BX386" s="194"/>
      <c r="BY386" s="194"/>
      <c r="BZ386" s="194"/>
      <c r="CA386" s="194"/>
      <c r="CB386" s="194"/>
      <c r="CC386" s="47"/>
      <c r="CD386" s="47"/>
      <c r="CE386" s="47"/>
      <c r="CF386" s="47"/>
      <c r="CG386" s="47"/>
      <c r="CH386" s="47"/>
      <c r="CI386" s="47"/>
      <c r="CJ386" s="47"/>
      <c r="CK386" s="47"/>
      <c r="CL386" s="194"/>
      <c r="CM386" s="47"/>
      <c r="CN386" s="47"/>
      <c r="CO386" s="47"/>
      <c r="CP386" s="47"/>
      <c r="CQ386" s="47"/>
      <c r="CR386" s="47"/>
      <c r="CS386" s="198"/>
      <c r="CT386" s="47"/>
      <c r="CU386" s="47"/>
      <c r="CV386" s="47"/>
      <c r="CW386" s="47"/>
      <c r="CX386" s="194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198"/>
      <c r="DX386" s="47"/>
      <c r="DY386" s="198"/>
      <c r="DZ386" s="198"/>
      <c r="EA386" s="47"/>
      <c r="EB386" s="194"/>
      <c r="EC386" s="47"/>
      <c r="ED386" s="195"/>
      <c r="EE386" s="195"/>
      <c r="EF386" s="195"/>
      <c r="EG386" s="195"/>
      <c r="EH386" s="195"/>
      <c r="EI386" s="196"/>
      <c r="EJ386" s="201"/>
      <c r="EK386" s="202"/>
      <c r="EL386" s="355"/>
      <c r="FA386" s="251">
        <f t="shared" si="20"/>
        <v>5.4</v>
      </c>
    </row>
    <row r="387" spans="1:157" s="1" customFormat="1" ht="20.149999999999999" customHeight="1" x14ac:dyDescent="0.35">
      <c r="A387" s="47"/>
      <c r="B387" s="47" t="s">
        <v>858</v>
      </c>
      <c r="C387" s="47" t="s">
        <v>164</v>
      </c>
      <c r="D387" s="252" t="s">
        <v>56</v>
      </c>
      <c r="E387" s="252" t="s">
        <v>56</v>
      </c>
      <c r="F387" s="2" t="s">
        <v>31</v>
      </c>
      <c r="G387" s="375" t="s">
        <v>37</v>
      </c>
      <c r="H387" s="328">
        <v>1.1000000000000001</v>
      </c>
      <c r="I387" s="47"/>
      <c r="J387" s="47"/>
      <c r="K387" s="47"/>
      <c r="L387" s="47"/>
      <c r="M387" s="47">
        <v>2</v>
      </c>
      <c r="N387" s="194"/>
      <c r="O387" s="194"/>
      <c r="P387" s="194"/>
      <c r="Q387" s="194"/>
      <c r="R387" s="47"/>
      <c r="S387" s="194"/>
      <c r="T387" s="47"/>
      <c r="U387" s="194"/>
      <c r="V387" s="47"/>
      <c r="W387" s="194"/>
      <c r="X387" s="47">
        <v>1.8</v>
      </c>
      <c r="Y387" s="194"/>
      <c r="Z387" s="194"/>
      <c r="AA387" s="47"/>
      <c r="AB387" s="47"/>
      <c r="AC387" s="47"/>
      <c r="AD387" s="47"/>
      <c r="AE387" s="194"/>
      <c r="AF387" s="194"/>
      <c r="AG387" s="194"/>
      <c r="AH387" s="5"/>
      <c r="AI387" s="47"/>
      <c r="AJ387" s="198"/>
      <c r="AK387" s="47"/>
      <c r="AL387" s="47"/>
      <c r="AM387" s="47"/>
      <c r="AN387" s="47"/>
      <c r="AO387" s="47"/>
      <c r="AP387" s="194"/>
      <c r="AQ387" s="47">
        <v>2</v>
      </c>
      <c r="AR387" s="47"/>
      <c r="AS387" s="47"/>
      <c r="AT387" s="194"/>
      <c r="AU387" s="194"/>
      <c r="AV387" s="194"/>
      <c r="AW387" s="194"/>
      <c r="AX387" s="194"/>
      <c r="AY387" s="194"/>
      <c r="AZ387" s="194"/>
      <c r="BA387" s="194"/>
      <c r="BB387" s="194"/>
      <c r="BC387" s="194"/>
      <c r="BD387" s="194"/>
      <c r="BE387" s="194"/>
      <c r="BF387" s="194"/>
      <c r="BG387" s="194"/>
      <c r="BH387" s="194"/>
      <c r="BI387" s="194"/>
      <c r="BJ387" s="194">
        <v>2</v>
      </c>
      <c r="BK387" s="194"/>
      <c r="BL387" s="194"/>
      <c r="BM387" s="194"/>
      <c r="BN387" s="194"/>
      <c r="BO387" s="194"/>
      <c r="BP387" s="194"/>
      <c r="BQ387" s="47"/>
      <c r="BR387" s="194"/>
      <c r="BS387" s="47"/>
      <c r="BT387" s="47"/>
      <c r="BU387" s="47"/>
      <c r="BV387" s="47"/>
      <c r="BW387" s="47"/>
      <c r="BX387" s="194"/>
      <c r="BY387" s="194"/>
      <c r="BZ387" s="194"/>
      <c r="CA387" s="194"/>
      <c r="CB387" s="194"/>
      <c r="CC387" s="47"/>
      <c r="CD387" s="47"/>
      <c r="CE387" s="47"/>
      <c r="CF387" s="47"/>
      <c r="CG387" s="47"/>
      <c r="CH387" s="47"/>
      <c r="CI387" s="47"/>
      <c r="CJ387" s="47"/>
      <c r="CK387" s="47"/>
      <c r="CL387" s="194">
        <v>2</v>
      </c>
      <c r="CM387" s="47"/>
      <c r="CN387" s="47"/>
      <c r="CO387" s="47"/>
      <c r="CP387" s="47"/>
      <c r="CQ387" s="47"/>
      <c r="CR387" s="47"/>
      <c r="CS387" s="198">
        <f>7.2/4</f>
        <v>1.8</v>
      </c>
      <c r="CT387" s="47"/>
      <c r="CU387" s="47"/>
      <c r="CV387" s="47"/>
      <c r="CW387" s="47"/>
      <c r="CX387" s="194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198"/>
      <c r="DX387" s="198">
        <v>1.8</v>
      </c>
      <c r="DY387" s="194"/>
      <c r="DZ387" s="47"/>
      <c r="EA387" s="47"/>
      <c r="EB387" s="194"/>
      <c r="EC387" s="47"/>
      <c r="ED387" s="195"/>
      <c r="EE387" s="195"/>
      <c r="EF387" s="195"/>
      <c r="EG387" s="195"/>
      <c r="EH387" s="195"/>
      <c r="EI387" s="196">
        <f t="shared" si="21"/>
        <v>0</v>
      </c>
      <c r="EJ387" s="201">
        <f t="shared" si="22"/>
        <v>1.3970000000000002</v>
      </c>
      <c r="EK387" s="202">
        <v>1.8</v>
      </c>
      <c r="EL387" s="5"/>
      <c r="FA387" s="251">
        <f t="shared" si="20"/>
        <v>1.1000000000000001</v>
      </c>
    </row>
    <row r="388" spans="1:157" s="1" customFormat="1" ht="20.149999999999999" customHeight="1" x14ac:dyDescent="0.35">
      <c r="A388" s="2"/>
      <c r="B388" s="47" t="s">
        <v>1093</v>
      </c>
      <c r="C388" s="47" t="s">
        <v>194</v>
      </c>
      <c r="D388" s="252" t="s">
        <v>56</v>
      </c>
      <c r="E388" s="252" t="s">
        <v>56</v>
      </c>
      <c r="F388" s="2" t="s">
        <v>65</v>
      </c>
      <c r="G388" s="375" t="s">
        <v>37</v>
      </c>
      <c r="H388" s="328">
        <f>(1.65+1.85)/2</f>
        <v>1.75</v>
      </c>
      <c r="I388" s="47"/>
      <c r="J388" s="47"/>
      <c r="K388" s="47"/>
      <c r="L388" s="47"/>
      <c r="M388" s="47">
        <v>2.6</v>
      </c>
      <c r="N388" s="194"/>
      <c r="O388" s="194"/>
      <c r="P388" s="194"/>
      <c r="Q388" s="194"/>
      <c r="R388" s="47"/>
      <c r="S388" s="194"/>
      <c r="T388" s="47"/>
      <c r="U388" s="194"/>
      <c r="V388" s="47"/>
      <c r="W388" s="194"/>
      <c r="X388" s="47">
        <v>2.5</v>
      </c>
      <c r="Y388" s="194"/>
      <c r="Z388" s="194"/>
      <c r="AA388" s="47"/>
      <c r="AB388" s="47">
        <v>2.5</v>
      </c>
      <c r="AC388" s="47"/>
      <c r="AD388" s="47">
        <v>2.5</v>
      </c>
      <c r="AE388" s="194"/>
      <c r="AF388" s="194"/>
      <c r="AG388" s="194"/>
      <c r="AH388" s="5"/>
      <c r="AI388" s="47"/>
      <c r="AJ388" s="223"/>
      <c r="AK388" s="47"/>
      <c r="AL388" s="47"/>
      <c r="AM388" s="47"/>
      <c r="AN388" s="47"/>
      <c r="AO388" s="47"/>
      <c r="AP388" s="194"/>
      <c r="AQ388" s="47">
        <v>2.5</v>
      </c>
      <c r="AR388" s="47">
        <v>2.6</v>
      </c>
      <c r="AS388" s="47"/>
      <c r="AT388" s="194">
        <v>2.5</v>
      </c>
      <c r="AU388" s="194"/>
      <c r="AV388" s="194"/>
      <c r="AW388" s="194"/>
      <c r="AX388" s="194"/>
      <c r="AY388" s="194"/>
      <c r="AZ388" s="194"/>
      <c r="BA388" s="194"/>
      <c r="BB388" s="194"/>
      <c r="BC388" s="194"/>
      <c r="BD388" s="194"/>
      <c r="BE388" s="194"/>
      <c r="BF388" s="194"/>
      <c r="BG388" s="194"/>
      <c r="BH388" s="194"/>
      <c r="BI388" s="194"/>
      <c r="BJ388" s="194">
        <v>2.5</v>
      </c>
      <c r="BK388" s="194">
        <v>2.5</v>
      </c>
      <c r="BL388" s="194"/>
      <c r="BM388" s="194"/>
      <c r="BN388" s="194"/>
      <c r="BO388" s="194"/>
      <c r="BP388" s="194"/>
      <c r="BQ388" s="47"/>
      <c r="BR388" s="194"/>
      <c r="BS388" s="47">
        <v>2.5</v>
      </c>
      <c r="BT388" s="47">
        <v>2.5</v>
      </c>
      <c r="BU388" s="47"/>
      <c r="BV388" s="47"/>
      <c r="BW388" s="47"/>
      <c r="BX388" s="194">
        <v>2.5</v>
      </c>
      <c r="BY388" s="194"/>
      <c r="BZ388" s="194"/>
      <c r="CA388" s="194"/>
      <c r="CB388" s="194"/>
      <c r="CC388" s="47"/>
      <c r="CD388" s="47"/>
      <c r="CE388" s="47"/>
      <c r="CF388" s="47"/>
      <c r="CG388" s="47">
        <v>2.5</v>
      </c>
      <c r="CH388" s="47"/>
      <c r="CI388" s="47"/>
      <c r="CJ388" s="47"/>
      <c r="CK388" s="224"/>
      <c r="CL388" s="194">
        <v>2.5</v>
      </c>
      <c r="CM388" s="47"/>
      <c r="CN388" s="47"/>
      <c r="CO388" s="47">
        <v>2.6</v>
      </c>
      <c r="CP388" s="47">
        <v>2.6</v>
      </c>
      <c r="CQ388" s="47"/>
      <c r="CR388" s="47"/>
      <c r="CS388" s="198">
        <v>2.5</v>
      </c>
      <c r="CT388" s="47"/>
      <c r="CU388" s="47"/>
      <c r="CV388" s="47">
        <v>2.5</v>
      </c>
      <c r="CW388" s="47">
        <v>2.5</v>
      </c>
      <c r="CX388" s="194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>
        <v>2.6</v>
      </c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>
        <v>2</v>
      </c>
      <c r="DV388" s="47"/>
      <c r="DW388" s="198"/>
      <c r="DX388" s="198">
        <v>2.5</v>
      </c>
      <c r="DY388" s="194"/>
      <c r="DZ388" s="47"/>
      <c r="EA388" s="47"/>
      <c r="EB388" s="194"/>
      <c r="EC388" s="47"/>
      <c r="ED388" s="195"/>
      <c r="EE388" s="195"/>
      <c r="EF388" s="195"/>
      <c r="EG388" s="195">
        <v>2.5</v>
      </c>
      <c r="EH388" s="195"/>
      <c r="EI388" s="196">
        <f t="shared" si="21"/>
        <v>0</v>
      </c>
      <c r="EJ388" s="201">
        <f t="shared" si="22"/>
        <v>2.2225000000000001</v>
      </c>
      <c r="EK388" s="202">
        <v>1.8</v>
      </c>
      <c r="EL388" s="5"/>
      <c r="FA388" s="251">
        <f t="shared" si="20"/>
        <v>1.75</v>
      </c>
    </row>
    <row r="389" spans="1:157" s="1" customFormat="1" ht="20.149999999999999" customHeight="1" x14ac:dyDescent="0.35">
      <c r="A389" s="47"/>
      <c r="B389" s="47" t="s">
        <v>1565</v>
      </c>
      <c r="C389" s="47" t="s">
        <v>1566</v>
      </c>
      <c r="D389" s="252" t="s">
        <v>637</v>
      </c>
      <c r="E389" s="252" t="s">
        <v>56</v>
      </c>
      <c r="F389" s="2" t="s">
        <v>65</v>
      </c>
      <c r="G389" s="375" t="s">
        <v>37</v>
      </c>
      <c r="H389" s="328">
        <f>1.65*1.2</f>
        <v>1.9799999999999998</v>
      </c>
      <c r="I389" s="47"/>
      <c r="J389" s="47"/>
      <c r="K389" s="47"/>
      <c r="L389" s="47"/>
      <c r="M389" s="47"/>
      <c r="N389" s="194"/>
      <c r="O389" s="194"/>
      <c r="P389" s="194"/>
      <c r="Q389" s="194"/>
      <c r="R389" s="47"/>
      <c r="S389" s="194"/>
      <c r="T389" s="47"/>
      <c r="U389" s="194"/>
      <c r="V389" s="47"/>
      <c r="W389" s="194"/>
      <c r="X389" s="47"/>
      <c r="Y389" s="194"/>
      <c r="Z389" s="194"/>
      <c r="AA389" s="47"/>
      <c r="AB389" s="47"/>
      <c r="AC389" s="47"/>
      <c r="AD389" s="47"/>
      <c r="AE389" s="194"/>
      <c r="AF389" s="194"/>
      <c r="AG389" s="194"/>
      <c r="AH389" s="5"/>
      <c r="AI389" s="47"/>
      <c r="AJ389" s="223"/>
      <c r="AK389" s="47"/>
      <c r="AL389" s="47"/>
      <c r="AM389" s="47"/>
      <c r="AN389" s="47"/>
      <c r="AO389" s="47"/>
      <c r="AP389" s="194"/>
      <c r="AQ389" s="47"/>
      <c r="AR389" s="47"/>
      <c r="AS389" s="47"/>
      <c r="AT389" s="194"/>
      <c r="AU389" s="194"/>
      <c r="AV389" s="194"/>
      <c r="AW389" s="194"/>
      <c r="AX389" s="194"/>
      <c r="AY389" s="194"/>
      <c r="AZ389" s="194"/>
      <c r="BA389" s="194"/>
      <c r="BB389" s="194"/>
      <c r="BC389" s="194"/>
      <c r="BD389" s="194"/>
      <c r="BE389" s="194"/>
      <c r="BF389" s="194"/>
      <c r="BG389" s="194"/>
      <c r="BH389" s="194"/>
      <c r="BI389" s="194"/>
      <c r="BJ389" s="194"/>
      <c r="BK389" s="194"/>
      <c r="BL389" s="194"/>
      <c r="BM389" s="194"/>
      <c r="BN389" s="194"/>
      <c r="BO389" s="194"/>
      <c r="BP389" s="194"/>
      <c r="BQ389" s="47"/>
      <c r="BR389" s="194"/>
      <c r="BS389" s="47"/>
      <c r="BT389" s="47"/>
      <c r="BU389" s="47"/>
      <c r="BV389" s="47"/>
      <c r="BW389" s="47"/>
      <c r="BX389" s="194"/>
      <c r="BY389" s="194"/>
      <c r="BZ389" s="194"/>
      <c r="CA389" s="194"/>
      <c r="CB389" s="194"/>
      <c r="CC389" s="47"/>
      <c r="CD389" s="47"/>
      <c r="CE389" s="47"/>
      <c r="CF389" s="47"/>
      <c r="CG389" s="47"/>
      <c r="CH389" s="47"/>
      <c r="CI389" s="47"/>
      <c r="CJ389" s="47"/>
      <c r="CK389" s="224"/>
      <c r="CL389" s="194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194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198"/>
      <c r="DX389" s="198"/>
      <c r="DY389" s="194"/>
      <c r="DZ389" s="47"/>
      <c r="EA389" s="47"/>
      <c r="EB389" s="194"/>
      <c r="EC389" s="47"/>
      <c r="ED389" s="195"/>
      <c r="EE389" s="195"/>
      <c r="EF389" s="195"/>
      <c r="EG389" s="195"/>
      <c r="EH389" s="195"/>
      <c r="EI389" s="196">
        <f t="shared" si="21"/>
        <v>0</v>
      </c>
      <c r="EJ389" s="201">
        <f t="shared" si="22"/>
        <v>2.5145999999999997</v>
      </c>
      <c r="EK389" s="202">
        <v>1.8</v>
      </c>
      <c r="EL389" s="5"/>
      <c r="FA389" s="251">
        <f t="shared" si="20"/>
        <v>1.9799999999999998</v>
      </c>
    </row>
    <row r="390" spans="1:157" s="1" customFormat="1" ht="20.149999999999999" customHeight="1" x14ac:dyDescent="0.35">
      <c r="A390" s="2"/>
      <c r="B390" s="373" t="s">
        <v>1094</v>
      </c>
      <c r="C390" s="373" t="s">
        <v>815</v>
      </c>
      <c r="D390" s="386" t="s">
        <v>56</v>
      </c>
      <c r="E390" s="386" t="s">
        <v>56</v>
      </c>
      <c r="F390" s="374" t="s">
        <v>65</v>
      </c>
      <c r="G390" s="2" t="s">
        <v>37</v>
      </c>
      <c r="H390" s="223"/>
      <c r="I390" s="47"/>
      <c r="J390" s="47"/>
      <c r="K390" s="47"/>
      <c r="L390" s="47"/>
      <c r="M390" s="47">
        <v>3.5</v>
      </c>
      <c r="N390" s="194"/>
      <c r="O390" s="194"/>
      <c r="P390" s="194"/>
      <c r="Q390" s="194"/>
      <c r="R390" s="47"/>
      <c r="S390" s="194"/>
      <c r="T390" s="47"/>
      <c r="U390" s="194"/>
      <c r="V390" s="47"/>
      <c r="W390" s="194"/>
      <c r="X390" s="47"/>
      <c r="Y390" s="194"/>
      <c r="Z390" s="194"/>
      <c r="AA390" s="47"/>
      <c r="AB390" s="47"/>
      <c r="AC390" s="47"/>
      <c r="AD390" s="47"/>
      <c r="AE390" s="194"/>
      <c r="AF390" s="194"/>
      <c r="AG390" s="194"/>
      <c r="AH390" s="5"/>
      <c r="AI390" s="47"/>
      <c r="AJ390" s="223"/>
      <c r="AK390" s="47"/>
      <c r="AL390" s="47"/>
      <c r="AM390" s="47"/>
      <c r="AN390" s="47"/>
      <c r="AO390" s="47"/>
      <c r="AP390" s="194"/>
      <c r="AQ390" s="47"/>
      <c r="AR390" s="47"/>
      <c r="AS390" s="47"/>
      <c r="AT390" s="194"/>
      <c r="AU390" s="194"/>
      <c r="AV390" s="194"/>
      <c r="AW390" s="194"/>
      <c r="AX390" s="194"/>
      <c r="AY390" s="194"/>
      <c r="AZ390" s="194"/>
      <c r="BA390" s="194"/>
      <c r="BB390" s="194"/>
      <c r="BC390" s="194"/>
      <c r="BD390" s="194"/>
      <c r="BE390" s="194"/>
      <c r="BF390" s="194"/>
      <c r="BG390" s="194"/>
      <c r="BH390" s="194"/>
      <c r="BI390" s="194"/>
      <c r="BJ390" s="194"/>
      <c r="BK390" s="194"/>
      <c r="BL390" s="194"/>
      <c r="BM390" s="194"/>
      <c r="BN390" s="194"/>
      <c r="BO390" s="194"/>
      <c r="BP390" s="194"/>
      <c r="BQ390" s="47"/>
      <c r="BR390" s="194"/>
      <c r="BS390" s="47"/>
      <c r="BT390" s="47"/>
      <c r="BU390" s="47"/>
      <c r="BV390" s="47"/>
      <c r="BW390" s="47"/>
      <c r="BX390" s="194"/>
      <c r="BY390" s="194"/>
      <c r="BZ390" s="194"/>
      <c r="CA390" s="194"/>
      <c r="CB390" s="194"/>
      <c r="CC390" s="47"/>
      <c r="CD390" s="47"/>
      <c r="CE390" s="47"/>
      <c r="CF390" s="47"/>
      <c r="CG390" s="47"/>
      <c r="CH390" s="47"/>
      <c r="CI390" s="47"/>
      <c r="CJ390" s="47"/>
      <c r="CK390" s="224"/>
      <c r="CL390" s="321"/>
      <c r="CM390" s="47"/>
      <c r="CN390" s="47"/>
      <c r="CO390" s="47"/>
      <c r="CP390" s="47"/>
      <c r="CQ390" s="47"/>
      <c r="CR390" s="47"/>
      <c r="CS390" s="198"/>
      <c r="CT390" s="47"/>
      <c r="CU390" s="47"/>
      <c r="CV390" s="47">
        <v>2.8</v>
      </c>
      <c r="CW390" s="47"/>
      <c r="CX390" s="194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>
        <v>5</v>
      </c>
      <c r="DV390" s="47"/>
      <c r="DW390" s="198"/>
      <c r="DX390" s="198">
        <v>1.6</v>
      </c>
      <c r="DY390" s="194"/>
      <c r="DZ390" s="47"/>
      <c r="EA390" s="47"/>
      <c r="EB390" s="194"/>
      <c r="EC390" s="47"/>
      <c r="ED390" s="195"/>
      <c r="EE390" s="195"/>
      <c r="EF390" s="195"/>
      <c r="EG390" s="195"/>
      <c r="EH390" s="195"/>
      <c r="EI390" s="196">
        <f t="shared" si="21"/>
        <v>0</v>
      </c>
      <c r="EJ390" s="201">
        <f t="shared" si="22"/>
        <v>0</v>
      </c>
      <c r="EK390" s="202">
        <f t="shared" si="23"/>
        <v>3.2250000000000001</v>
      </c>
      <c r="EL390" s="5"/>
      <c r="FA390" s="251">
        <f t="shared" si="20"/>
        <v>0</v>
      </c>
    </row>
    <row r="391" spans="1:157" s="1" customFormat="1" ht="20.149999999999999" customHeight="1" x14ac:dyDescent="0.35">
      <c r="A391" s="2"/>
      <c r="B391" s="380" t="s">
        <v>1095</v>
      </c>
      <c r="C391" s="380" t="s">
        <v>195</v>
      </c>
      <c r="D391" s="381" t="s">
        <v>770</v>
      </c>
      <c r="E391" s="381" t="s">
        <v>770</v>
      </c>
      <c r="F391" s="382" t="s">
        <v>65</v>
      </c>
      <c r="G391" s="2" t="s">
        <v>37</v>
      </c>
      <c r="H391" s="331">
        <f>60/27*1.08</f>
        <v>2.4000000000000004</v>
      </c>
      <c r="I391" s="47"/>
      <c r="J391" s="47"/>
      <c r="K391" s="47"/>
      <c r="L391" s="47"/>
      <c r="M391" s="47"/>
      <c r="N391" s="194"/>
      <c r="O391" s="194"/>
      <c r="P391" s="194"/>
      <c r="Q391" s="194">
        <v>4.4000000000000004</v>
      </c>
      <c r="R391" s="47"/>
      <c r="S391" s="194"/>
      <c r="T391" s="47"/>
      <c r="U391" s="194"/>
      <c r="V391" s="47"/>
      <c r="W391" s="194"/>
      <c r="X391" s="47"/>
      <c r="Y391" s="194"/>
      <c r="Z391" s="194"/>
      <c r="AA391" s="47"/>
      <c r="AB391" s="47"/>
      <c r="AC391" s="47"/>
      <c r="AD391" s="47"/>
      <c r="AE391" s="194"/>
      <c r="AF391" s="194"/>
      <c r="AG391" s="194"/>
      <c r="AH391" s="5"/>
      <c r="AI391" s="47"/>
      <c r="AJ391" s="223"/>
      <c r="AK391" s="47"/>
      <c r="AL391" s="47"/>
      <c r="AM391" s="47"/>
      <c r="AN391" s="47"/>
      <c r="AO391" s="47"/>
      <c r="AP391" s="194"/>
      <c r="AQ391" s="47">
        <v>4.4000000000000004</v>
      </c>
      <c r="AR391" s="47">
        <v>4.4000000000000004</v>
      </c>
      <c r="AS391" s="47"/>
      <c r="AT391" s="194"/>
      <c r="AU391" s="194"/>
      <c r="AV391" s="194"/>
      <c r="AW391" s="194"/>
      <c r="AX391" s="194"/>
      <c r="AY391" s="194"/>
      <c r="AZ391" s="194"/>
      <c r="BA391" s="194"/>
      <c r="BB391" s="194"/>
      <c r="BC391" s="194"/>
      <c r="BD391" s="194"/>
      <c r="BE391" s="194"/>
      <c r="BF391" s="194"/>
      <c r="BG391" s="194"/>
      <c r="BH391" s="194"/>
      <c r="BI391" s="194"/>
      <c r="BJ391" s="194">
        <v>4.4000000000000004</v>
      </c>
      <c r="BK391" s="194"/>
      <c r="BL391" s="194"/>
      <c r="BM391" s="194"/>
      <c r="BN391" s="194"/>
      <c r="BO391" s="194"/>
      <c r="BP391" s="194"/>
      <c r="BQ391" s="47"/>
      <c r="BR391" s="194"/>
      <c r="BS391" s="47"/>
      <c r="BT391" s="47"/>
      <c r="BU391" s="47"/>
      <c r="BV391" s="47"/>
      <c r="BW391" s="47"/>
      <c r="BX391" s="194">
        <v>4.4000000000000004</v>
      </c>
      <c r="BY391" s="194"/>
      <c r="BZ391" s="194"/>
      <c r="CA391" s="194"/>
      <c r="CB391" s="194"/>
      <c r="CC391" s="47"/>
      <c r="CD391" s="47"/>
      <c r="CE391" s="47"/>
      <c r="CF391" s="47"/>
      <c r="CG391" s="47"/>
      <c r="CH391" s="47"/>
      <c r="CI391" s="47"/>
      <c r="CJ391" s="47"/>
      <c r="CK391" s="224"/>
      <c r="CL391" s="321">
        <v>4.4000000000000004</v>
      </c>
      <c r="CM391" s="47"/>
      <c r="CN391" s="47"/>
      <c r="CO391" s="47">
        <v>4.4000000000000004</v>
      </c>
      <c r="CP391" s="47">
        <v>4.4000000000000004</v>
      </c>
      <c r="CQ391" s="47"/>
      <c r="CR391" s="47"/>
      <c r="CS391" s="198">
        <v>4.4000000000000004</v>
      </c>
      <c r="CT391" s="47"/>
      <c r="CU391" s="47"/>
      <c r="CV391" s="47">
        <v>4.4000000000000004</v>
      </c>
      <c r="CW391" s="47"/>
      <c r="CX391" s="194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198"/>
      <c r="DX391" s="198">
        <v>4.4000000000000004</v>
      </c>
      <c r="DY391" s="194"/>
      <c r="DZ391" s="47"/>
      <c r="EA391" s="47"/>
      <c r="EB391" s="194"/>
      <c r="EC391" s="47"/>
      <c r="ED391" s="195"/>
      <c r="EE391" s="195"/>
      <c r="EF391" s="195"/>
      <c r="EG391" s="195"/>
      <c r="EH391" s="195"/>
      <c r="EI391" s="196">
        <f t="shared" si="21"/>
        <v>0</v>
      </c>
      <c r="EJ391" s="201">
        <f t="shared" si="22"/>
        <v>3.0480000000000005</v>
      </c>
      <c r="EK391" s="202">
        <f t="shared" si="23"/>
        <v>4.3999999999999995</v>
      </c>
      <c r="EL391" s="5"/>
      <c r="FA391" s="251">
        <f t="shared" si="20"/>
        <v>2.4000000000000004</v>
      </c>
    </row>
    <row r="392" spans="1:157" s="1" customFormat="1" ht="20.149999999999999" customHeight="1" x14ac:dyDescent="0.35">
      <c r="A392" s="2"/>
      <c r="B392" s="47" t="s">
        <v>1096</v>
      </c>
      <c r="C392" s="47" t="s">
        <v>195</v>
      </c>
      <c r="D392" s="252" t="s">
        <v>56</v>
      </c>
      <c r="E392" s="252" t="s">
        <v>56</v>
      </c>
      <c r="F392" s="2" t="s">
        <v>65</v>
      </c>
      <c r="G392" s="375" t="s">
        <v>37</v>
      </c>
      <c r="H392" s="328">
        <v>2.35</v>
      </c>
      <c r="I392" s="47"/>
      <c r="J392" s="47"/>
      <c r="K392" s="47"/>
      <c r="L392" s="47"/>
      <c r="M392" s="47"/>
      <c r="N392" s="194"/>
      <c r="O392" s="194"/>
      <c r="P392" s="194"/>
      <c r="Q392" s="194"/>
      <c r="R392" s="47"/>
      <c r="S392" s="194"/>
      <c r="T392" s="47"/>
      <c r="U392" s="194"/>
      <c r="V392" s="47"/>
      <c r="W392" s="194"/>
      <c r="X392" s="47"/>
      <c r="Y392" s="194"/>
      <c r="Z392" s="194"/>
      <c r="AA392" s="47"/>
      <c r="AB392" s="47"/>
      <c r="AC392" s="47"/>
      <c r="AD392" s="47"/>
      <c r="AE392" s="194"/>
      <c r="AF392" s="194"/>
      <c r="AG392" s="194"/>
      <c r="AH392" s="5"/>
      <c r="AI392" s="47"/>
      <c r="AJ392" s="223"/>
      <c r="AK392" s="47"/>
      <c r="AL392" s="47"/>
      <c r="AM392" s="47"/>
      <c r="AN392" s="47"/>
      <c r="AO392" s="47"/>
      <c r="AP392" s="194"/>
      <c r="AQ392" s="47"/>
      <c r="AR392" s="47"/>
      <c r="AS392" s="47"/>
      <c r="AT392" s="194"/>
      <c r="AU392" s="194"/>
      <c r="AV392" s="194"/>
      <c r="AW392" s="194"/>
      <c r="AX392" s="194"/>
      <c r="AY392" s="194"/>
      <c r="AZ392" s="194"/>
      <c r="BA392" s="194"/>
      <c r="BB392" s="194"/>
      <c r="BC392" s="194"/>
      <c r="BD392" s="194"/>
      <c r="BE392" s="194"/>
      <c r="BF392" s="194"/>
      <c r="BG392" s="194"/>
      <c r="BH392" s="194"/>
      <c r="BI392" s="194"/>
      <c r="BJ392" s="194"/>
      <c r="BK392" s="194"/>
      <c r="BL392" s="194"/>
      <c r="BM392" s="194"/>
      <c r="BN392" s="194"/>
      <c r="BO392" s="194"/>
      <c r="BP392" s="194"/>
      <c r="BQ392" s="47"/>
      <c r="BR392" s="194"/>
      <c r="BS392" s="47"/>
      <c r="BT392" s="47"/>
      <c r="BU392" s="47"/>
      <c r="BV392" s="47"/>
      <c r="BW392" s="47"/>
      <c r="BX392" s="194">
        <v>3.5</v>
      </c>
      <c r="BY392" s="194"/>
      <c r="BZ392" s="194"/>
      <c r="CA392" s="194"/>
      <c r="CB392" s="194"/>
      <c r="CC392" s="47"/>
      <c r="CD392" s="47"/>
      <c r="CE392" s="47"/>
      <c r="CF392" s="47"/>
      <c r="CG392" s="47"/>
      <c r="CH392" s="47"/>
      <c r="CI392" s="47"/>
      <c r="CJ392" s="47"/>
      <c r="CK392" s="224"/>
      <c r="CL392" s="194"/>
      <c r="CM392" s="47"/>
      <c r="CN392" s="47"/>
      <c r="CO392" s="47"/>
      <c r="CP392" s="47">
        <v>3.5</v>
      </c>
      <c r="CQ392" s="47"/>
      <c r="CR392" s="47"/>
      <c r="CS392" s="47"/>
      <c r="CT392" s="47"/>
      <c r="CU392" s="47"/>
      <c r="CV392" s="47"/>
      <c r="CW392" s="47"/>
      <c r="CX392" s="194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198"/>
      <c r="DX392" s="198">
        <v>3.5</v>
      </c>
      <c r="DY392" s="194"/>
      <c r="DZ392" s="47"/>
      <c r="EA392" s="47"/>
      <c r="EB392" s="194"/>
      <c r="EC392" s="47"/>
      <c r="ED392" s="195"/>
      <c r="EE392" s="195"/>
      <c r="EF392" s="195"/>
      <c r="EG392" s="195"/>
      <c r="EH392" s="195"/>
      <c r="EI392" s="196">
        <f t="shared" si="21"/>
        <v>0</v>
      </c>
      <c r="EJ392" s="201">
        <f t="shared" si="22"/>
        <v>2.9845000000000002</v>
      </c>
      <c r="EK392" s="202">
        <f t="shared" si="23"/>
        <v>3.5</v>
      </c>
      <c r="EL392" s="5"/>
      <c r="FA392" s="251">
        <f t="shared" si="20"/>
        <v>2.35</v>
      </c>
    </row>
    <row r="393" spans="1:157" s="1" customFormat="1" ht="20.149999999999999" customHeight="1" x14ac:dyDescent="0.35">
      <c r="A393" s="2"/>
      <c r="B393" s="383" t="s">
        <v>1097</v>
      </c>
      <c r="C393" s="383" t="s">
        <v>1567</v>
      </c>
      <c r="D393" s="390" t="s">
        <v>299</v>
      </c>
      <c r="E393" s="384" t="s">
        <v>770</v>
      </c>
      <c r="F393" s="385" t="s">
        <v>65</v>
      </c>
      <c r="G393" s="2" t="s">
        <v>37</v>
      </c>
      <c r="H393" s="328">
        <v>6.2</v>
      </c>
      <c r="I393" s="47"/>
      <c r="J393" s="47"/>
      <c r="K393" s="47"/>
      <c r="L393" s="47"/>
      <c r="M393" s="47"/>
      <c r="N393" s="194"/>
      <c r="O393" s="194"/>
      <c r="P393" s="194"/>
      <c r="Q393" s="194"/>
      <c r="R393" s="47"/>
      <c r="S393" s="194"/>
      <c r="T393" s="47"/>
      <c r="U393" s="194"/>
      <c r="V393" s="47"/>
      <c r="W393" s="194"/>
      <c r="X393" s="47"/>
      <c r="Y393" s="194"/>
      <c r="Z393" s="194"/>
      <c r="AA393" s="47"/>
      <c r="AB393" s="47"/>
      <c r="AC393" s="47"/>
      <c r="AD393" s="47"/>
      <c r="AE393" s="194"/>
      <c r="AF393" s="194"/>
      <c r="AG393" s="194"/>
      <c r="AH393" s="5"/>
      <c r="AI393" s="47"/>
      <c r="AJ393" s="223"/>
      <c r="AK393" s="47"/>
      <c r="AL393" s="47"/>
      <c r="AM393" s="47"/>
      <c r="AN393" s="47"/>
      <c r="AO393" s="47"/>
      <c r="AP393" s="194"/>
      <c r="AQ393" s="47"/>
      <c r="AR393" s="47"/>
      <c r="AS393" s="47"/>
      <c r="AT393" s="194"/>
      <c r="AU393" s="194"/>
      <c r="AV393" s="194"/>
      <c r="AW393" s="194"/>
      <c r="AX393" s="194"/>
      <c r="AY393" s="194"/>
      <c r="AZ393" s="194"/>
      <c r="BA393" s="194"/>
      <c r="BB393" s="194"/>
      <c r="BC393" s="194"/>
      <c r="BD393" s="194"/>
      <c r="BE393" s="194"/>
      <c r="BF393" s="194"/>
      <c r="BG393" s="194"/>
      <c r="BH393" s="194"/>
      <c r="BI393" s="194"/>
      <c r="BJ393" s="194">
        <v>6.5</v>
      </c>
      <c r="BK393" s="194"/>
      <c r="BL393" s="194"/>
      <c r="BM393" s="194"/>
      <c r="BN393" s="194"/>
      <c r="BO393" s="194"/>
      <c r="BP393" s="194"/>
      <c r="BQ393" s="47"/>
      <c r="BR393" s="194"/>
      <c r="BS393" s="47"/>
      <c r="BT393" s="47"/>
      <c r="BU393" s="47"/>
      <c r="BV393" s="47"/>
      <c r="BW393" s="47"/>
      <c r="BX393" s="194">
        <v>6.5</v>
      </c>
      <c r="BY393" s="194"/>
      <c r="BZ393" s="194"/>
      <c r="CA393" s="194"/>
      <c r="CB393" s="194"/>
      <c r="CC393" s="47">
        <v>6.5</v>
      </c>
      <c r="CD393" s="47"/>
      <c r="CE393" s="47"/>
      <c r="CF393" s="47"/>
      <c r="CG393" s="47"/>
      <c r="CH393" s="47"/>
      <c r="CI393" s="47"/>
      <c r="CJ393" s="47"/>
      <c r="CK393" s="224"/>
      <c r="CL393" s="194"/>
      <c r="CM393" s="47"/>
      <c r="CN393" s="47"/>
      <c r="CO393" s="47"/>
      <c r="CP393" s="47"/>
      <c r="CQ393" s="47"/>
      <c r="CR393" s="47"/>
      <c r="CS393" s="198"/>
      <c r="CT393" s="47"/>
      <c r="CU393" s="47"/>
      <c r="CV393" s="47"/>
      <c r="CW393" s="47"/>
      <c r="CX393" s="194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198"/>
      <c r="DX393" s="198">
        <v>6.5</v>
      </c>
      <c r="DY393" s="194"/>
      <c r="DZ393" s="47"/>
      <c r="EA393" s="47"/>
      <c r="EB393" s="194"/>
      <c r="EC393" s="47"/>
      <c r="ED393" s="195"/>
      <c r="EE393" s="195">
        <v>1.5</v>
      </c>
      <c r="EF393" s="195"/>
      <c r="EG393" s="195">
        <v>2</v>
      </c>
      <c r="EH393" s="195"/>
      <c r="EI393" s="196">
        <f t="shared" si="21"/>
        <v>0</v>
      </c>
      <c r="EJ393" s="201">
        <f t="shared" si="22"/>
        <v>7.8740000000000006</v>
      </c>
      <c r="EK393" s="202">
        <v>1.8</v>
      </c>
      <c r="EL393" s="5"/>
      <c r="FA393" s="251">
        <f t="shared" si="20"/>
        <v>6.2</v>
      </c>
    </row>
    <row r="394" spans="1:157" s="1" customFormat="1" ht="20.149999999999999" customHeight="1" x14ac:dyDescent="0.35">
      <c r="A394" s="2"/>
      <c r="B394" s="47" t="s">
        <v>1098</v>
      </c>
      <c r="C394" s="47" t="s">
        <v>196</v>
      </c>
      <c r="D394" s="252" t="s">
        <v>56</v>
      </c>
      <c r="E394" s="2" t="s">
        <v>33</v>
      </c>
      <c r="F394" s="2" t="s">
        <v>31</v>
      </c>
      <c r="G394" s="375" t="s">
        <v>37</v>
      </c>
      <c r="H394" s="328">
        <v>1.1000000000000001</v>
      </c>
      <c r="I394" s="47"/>
      <c r="J394" s="47"/>
      <c r="K394" s="47"/>
      <c r="L394" s="47"/>
      <c r="M394" s="47"/>
      <c r="N394" s="194"/>
      <c r="O394" s="194"/>
      <c r="P394" s="194"/>
      <c r="Q394" s="194">
        <v>1.8</v>
      </c>
      <c r="R394" s="194"/>
      <c r="S394" s="194"/>
      <c r="T394" s="47"/>
      <c r="U394" s="194"/>
      <c r="V394" s="47"/>
      <c r="W394" s="194"/>
      <c r="X394" s="47">
        <v>1.8</v>
      </c>
      <c r="Y394" s="194"/>
      <c r="Z394" s="194"/>
      <c r="AA394" s="47"/>
      <c r="AB394" s="47"/>
      <c r="AC394" s="47"/>
      <c r="AD394" s="47"/>
      <c r="AE394" s="194"/>
      <c r="AF394" s="194"/>
      <c r="AG394" s="194"/>
      <c r="AH394" s="5"/>
      <c r="AI394" s="47"/>
      <c r="AJ394" s="223"/>
      <c r="AK394" s="47"/>
      <c r="AL394" s="47"/>
      <c r="AM394" s="47"/>
      <c r="AN394" s="47"/>
      <c r="AO394" s="47"/>
      <c r="AP394" s="194"/>
      <c r="AQ394" s="47"/>
      <c r="AR394" s="47">
        <v>1.9</v>
      </c>
      <c r="AS394" s="47"/>
      <c r="AT394" s="194"/>
      <c r="AU394" s="194"/>
      <c r="AV394" s="194"/>
      <c r="AW394" s="194"/>
      <c r="AX394" s="194"/>
      <c r="AY394" s="194"/>
      <c r="AZ394" s="194"/>
      <c r="BA394" s="194"/>
      <c r="BB394" s="194"/>
      <c r="BC394" s="194"/>
      <c r="BD394" s="194"/>
      <c r="BE394" s="194"/>
      <c r="BF394" s="194"/>
      <c r="BG394" s="194"/>
      <c r="BH394" s="194"/>
      <c r="BI394" s="194"/>
      <c r="BJ394" s="194"/>
      <c r="BK394" s="194"/>
      <c r="BL394" s="194"/>
      <c r="BM394" s="194"/>
      <c r="BN394" s="194"/>
      <c r="BO394" s="194"/>
      <c r="BP394" s="194"/>
      <c r="BQ394" s="47"/>
      <c r="BR394" s="194"/>
      <c r="BS394" s="47"/>
      <c r="BT394" s="47"/>
      <c r="BU394" s="47"/>
      <c r="BV394" s="47"/>
      <c r="BW394" s="47"/>
      <c r="BX394" s="194">
        <v>1.9</v>
      </c>
      <c r="BY394" s="194"/>
      <c r="BZ394" s="194"/>
      <c r="CA394" s="194"/>
      <c r="CB394" s="194"/>
      <c r="CC394" s="47"/>
      <c r="CD394" s="47"/>
      <c r="CE394" s="47"/>
      <c r="CF394" s="47"/>
      <c r="CG394" s="47"/>
      <c r="CH394" s="47"/>
      <c r="CI394" s="47"/>
      <c r="CJ394" s="47"/>
      <c r="CK394" s="224"/>
      <c r="CL394" s="194">
        <v>1.8</v>
      </c>
      <c r="CM394" s="47"/>
      <c r="CN394" s="47"/>
      <c r="CO394" s="47">
        <v>1.9</v>
      </c>
      <c r="CP394" s="47">
        <v>1.9</v>
      </c>
      <c r="CQ394" s="47"/>
      <c r="CR394" s="47"/>
      <c r="CS394" s="198">
        <v>1.8</v>
      </c>
      <c r="CT394" s="47"/>
      <c r="CU394" s="47"/>
      <c r="CV394" s="47">
        <v>2</v>
      </c>
      <c r="CW394" s="47"/>
      <c r="CX394" s="194"/>
      <c r="CY394" s="47">
        <v>1.8</v>
      </c>
      <c r="CZ394" s="47">
        <v>2.5</v>
      </c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>
        <v>1.2</v>
      </c>
      <c r="DV394" s="47"/>
      <c r="DW394" s="198"/>
      <c r="DX394" s="47"/>
      <c r="DY394" s="194"/>
      <c r="DZ394" s="47"/>
      <c r="EA394" s="47"/>
      <c r="EB394" s="194"/>
      <c r="EC394" s="47"/>
      <c r="ED394" s="195"/>
      <c r="EE394" s="195"/>
      <c r="EF394" s="195"/>
      <c r="EG394" s="195"/>
      <c r="EH394" s="195"/>
      <c r="EI394" s="196">
        <f t="shared" si="21"/>
        <v>0</v>
      </c>
      <c r="EJ394" s="201">
        <f t="shared" si="22"/>
        <v>1.3970000000000002</v>
      </c>
      <c r="EK394" s="202">
        <f t="shared" si="23"/>
        <v>1.8583333333333336</v>
      </c>
      <c r="EL394" s="5"/>
      <c r="FA394" s="251">
        <f t="shared" si="20"/>
        <v>1.1000000000000001</v>
      </c>
    </row>
    <row r="395" spans="1:157" s="1" customFormat="1" ht="20.149999999999999" customHeight="1" x14ac:dyDescent="0.35">
      <c r="A395" s="47"/>
      <c r="B395" s="47" t="s">
        <v>1099</v>
      </c>
      <c r="C395" s="47" t="s">
        <v>294</v>
      </c>
      <c r="D395" s="252" t="s">
        <v>56</v>
      </c>
      <c r="E395" s="2" t="s">
        <v>33</v>
      </c>
      <c r="F395" s="2" t="s">
        <v>31</v>
      </c>
      <c r="G395" s="375" t="s">
        <v>37</v>
      </c>
      <c r="H395" s="328">
        <v>2.2999999999999998</v>
      </c>
      <c r="I395" s="47"/>
      <c r="J395" s="47"/>
      <c r="K395" s="47"/>
      <c r="L395" s="47"/>
      <c r="M395" s="47"/>
      <c r="N395" s="194"/>
      <c r="O395" s="194"/>
      <c r="P395" s="194"/>
      <c r="Q395" s="194"/>
      <c r="R395" s="194">
        <v>2.8</v>
      </c>
      <c r="S395" s="194"/>
      <c r="T395" s="47"/>
      <c r="U395" s="194"/>
      <c r="V395" s="47"/>
      <c r="W395" s="194"/>
      <c r="X395" s="47">
        <v>2.8</v>
      </c>
      <c r="Y395" s="194"/>
      <c r="Z395" s="194"/>
      <c r="AA395" s="47"/>
      <c r="AB395" s="47"/>
      <c r="AC395" s="47"/>
      <c r="AD395" s="47"/>
      <c r="AE395" s="194"/>
      <c r="AF395" s="194"/>
      <c r="AG395" s="194"/>
      <c r="AH395" s="5"/>
      <c r="AI395" s="47"/>
      <c r="AJ395" s="223"/>
      <c r="AK395" s="47"/>
      <c r="AL395" s="47"/>
      <c r="AM395" s="47"/>
      <c r="AN395" s="47"/>
      <c r="AO395" s="47"/>
      <c r="AP395" s="194"/>
      <c r="AQ395" s="47"/>
      <c r="AR395" s="47">
        <v>2.8</v>
      </c>
      <c r="AS395" s="47"/>
      <c r="AT395" s="194"/>
      <c r="AU395" s="194"/>
      <c r="AV395" s="194"/>
      <c r="AW395" s="194"/>
      <c r="AX395" s="194"/>
      <c r="AY395" s="194"/>
      <c r="AZ395" s="194"/>
      <c r="BA395" s="194"/>
      <c r="BB395" s="194"/>
      <c r="BC395" s="194"/>
      <c r="BD395" s="194"/>
      <c r="BE395" s="194"/>
      <c r="BF395" s="194"/>
      <c r="BG395" s="194"/>
      <c r="BH395" s="194"/>
      <c r="BI395" s="194"/>
      <c r="BJ395" s="194"/>
      <c r="BK395" s="194"/>
      <c r="BL395" s="194"/>
      <c r="BM395" s="194"/>
      <c r="BN395" s="194"/>
      <c r="BO395" s="194"/>
      <c r="BP395" s="194"/>
      <c r="BQ395" s="47"/>
      <c r="BR395" s="194"/>
      <c r="BS395" s="47">
        <v>2.8</v>
      </c>
      <c r="BT395" s="47"/>
      <c r="BU395" s="47"/>
      <c r="BV395" s="47"/>
      <c r="BW395" s="47"/>
      <c r="BX395" s="194"/>
      <c r="BY395" s="194"/>
      <c r="BZ395" s="194"/>
      <c r="CA395" s="194"/>
      <c r="CB395" s="194"/>
      <c r="CC395" s="47"/>
      <c r="CD395" s="47"/>
      <c r="CE395" s="47"/>
      <c r="CF395" s="47"/>
      <c r="CG395" s="47"/>
      <c r="CH395" s="47"/>
      <c r="CI395" s="47"/>
      <c r="CJ395" s="47"/>
      <c r="CK395" s="224"/>
      <c r="CL395" s="194">
        <v>2.8</v>
      </c>
      <c r="CM395" s="47"/>
      <c r="CN395" s="47"/>
      <c r="CO395" s="47">
        <v>2.8</v>
      </c>
      <c r="CP395" s="47">
        <v>2.8</v>
      </c>
      <c r="CQ395" s="47"/>
      <c r="CR395" s="47"/>
      <c r="CS395" s="198">
        <v>2.8</v>
      </c>
      <c r="CT395" s="47"/>
      <c r="CU395" s="47"/>
      <c r="CV395" s="47">
        <v>2.8</v>
      </c>
      <c r="CW395" s="47"/>
      <c r="CX395" s="194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198"/>
      <c r="DX395" s="47">
        <v>16</v>
      </c>
      <c r="DY395" s="194"/>
      <c r="DZ395" s="47"/>
      <c r="EA395" s="47"/>
      <c r="EB395" s="194"/>
      <c r="EC395" s="47"/>
      <c r="ED395" s="195"/>
      <c r="EE395" s="195"/>
      <c r="EF395" s="195"/>
      <c r="EG395" s="195"/>
      <c r="EH395" s="195"/>
      <c r="EI395" s="196">
        <f t="shared" si="21"/>
        <v>0</v>
      </c>
      <c r="EJ395" s="201">
        <f t="shared" si="22"/>
        <v>2.9209999999999998</v>
      </c>
      <c r="EK395" s="202">
        <f t="shared" si="23"/>
        <v>4.12</v>
      </c>
      <c r="EL395" s="5"/>
      <c r="FA395" s="251">
        <f t="shared" si="20"/>
        <v>2.2999999999999998</v>
      </c>
    </row>
    <row r="396" spans="1:157" s="1" customFormat="1" ht="20.149999999999999" customHeight="1" x14ac:dyDescent="0.35">
      <c r="A396" s="47"/>
      <c r="B396" s="373" t="s">
        <v>1100</v>
      </c>
      <c r="C396" s="373" t="s">
        <v>1354</v>
      </c>
      <c r="D396" s="374" t="s">
        <v>637</v>
      </c>
      <c r="E396" s="374" t="s">
        <v>637</v>
      </c>
      <c r="F396" s="378" t="s">
        <v>65</v>
      </c>
      <c r="G396" s="2" t="s">
        <v>45</v>
      </c>
      <c r="H396" s="328">
        <f>26/9</f>
        <v>2.8888888888888888</v>
      </c>
      <c r="I396" s="47"/>
      <c r="J396" s="47"/>
      <c r="K396" s="47"/>
      <c r="L396" s="47"/>
      <c r="M396" s="47"/>
      <c r="N396" s="194"/>
      <c r="O396" s="194"/>
      <c r="P396" s="194"/>
      <c r="Q396" s="194"/>
      <c r="R396" s="47"/>
      <c r="S396" s="194"/>
      <c r="T396" s="47"/>
      <c r="U396" s="194"/>
      <c r="V396" s="47"/>
      <c r="W396" s="194"/>
      <c r="X396" s="47"/>
      <c r="Y396" s="194"/>
      <c r="Z396" s="194"/>
      <c r="AA396" s="47"/>
      <c r="AB396" s="47"/>
      <c r="AC396" s="47"/>
      <c r="AD396" s="47"/>
      <c r="AE396" s="194"/>
      <c r="AF396" s="194"/>
      <c r="AG396" s="194"/>
      <c r="AH396" s="5"/>
      <c r="AI396" s="47"/>
      <c r="AJ396" s="223"/>
      <c r="AK396" s="47"/>
      <c r="AL396" s="47"/>
      <c r="AM396" s="47"/>
      <c r="AN396" s="47"/>
      <c r="AO396" s="47"/>
      <c r="AP396" s="194"/>
      <c r="AQ396" s="47"/>
      <c r="AR396" s="47"/>
      <c r="AS396" s="47"/>
      <c r="AT396" s="194"/>
      <c r="AU396" s="194"/>
      <c r="AV396" s="194"/>
      <c r="AW396" s="194"/>
      <c r="AX396" s="194"/>
      <c r="AY396" s="194"/>
      <c r="AZ396" s="194"/>
      <c r="BA396" s="194"/>
      <c r="BB396" s="194"/>
      <c r="BC396" s="194"/>
      <c r="BD396" s="194"/>
      <c r="BE396" s="194"/>
      <c r="BF396" s="194"/>
      <c r="BG396" s="194"/>
      <c r="BH396" s="194"/>
      <c r="BI396" s="194"/>
      <c r="BJ396" s="194"/>
      <c r="BK396" s="194"/>
      <c r="BL396" s="194"/>
      <c r="BM396" s="194"/>
      <c r="BN396" s="194"/>
      <c r="BO396" s="194"/>
      <c r="BP396" s="194"/>
      <c r="BQ396" s="47"/>
      <c r="BR396" s="194"/>
      <c r="BS396" s="47"/>
      <c r="BT396" s="47"/>
      <c r="BU396" s="47"/>
      <c r="BV396" s="47"/>
      <c r="BW396" s="47"/>
      <c r="BX396" s="194"/>
      <c r="BY396" s="194"/>
      <c r="BZ396" s="194"/>
      <c r="CA396" s="194"/>
      <c r="CB396" s="194"/>
      <c r="CC396" s="47"/>
      <c r="CD396" s="47"/>
      <c r="CE396" s="47"/>
      <c r="CF396" s="47"/>
      <c r="CG396" s="47"/>
      <c r="CH396" s="47"/>
      <c r="CI396" s="47"/>
      <c r="CJ396" s="47"/>
      <c r="CK396" s="224"/>
      <c r="CL396" s="194">
        <v>4</v>
      </c>
      <c r="CM396" s="47"/>
      <c r="CN396" s="47"/>
      <c r="CO396" s="47"/>
      <c r="CP396" s="47"/>
      <c r="CQ396" s="47"/>
      <c r="CR396" s="47"/>
      <c r="CS396" s="47"/>
      <c r="CT396" s="47"/>
      <c r="CU396" s="47"/>
      <c r="CV396" s="47">
        <v>2.4</v>
      </c>
      <c r="CW396" s="47"/>
      <c r="CX396" s="194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198"/>
      <c r="DX396" s="198">
        <v>1.5</v>
      </c>
      <c r="DY396" s="194"/>
      <c r="DZ396" s="47"/>
      <c r="EA396" s="47"/>
      <c r="EB396" s="194"/>
      <c r="EC396" s="47"/>
      <c r="ED396" s="195"/>
      <c r="EE396" s="195"/>
      <c r="EF396" s="195"/>
      <c r="EG396" s="195"/>
      <c r="EH396" s="195"/>
      <c r="EI396" s="196">
        <f t="shared" si="21"/>
        <v>0</v>
      </c>
      <c r="EJ396" s="201">
        <f t="shared" si="22"/>
        <v>3.6688888888888891</v>
      </c>
      <c r="EK396" s="202">
        <f t="shared" si="23"/>
        <v>2.6333333333333333</v>
      </c>
      <c r="EL396" s="5"/>
      <c r="FA396" s="251">
        <f t="shared" si="20"/>
        <v>2.8888888888888888</v>
      </c>
    </row>
    <row r="397" spans="1:157" s="1" customFormat="1" ht="20.149999999999999" customHeight="1" x14ac:dyDescent="0.35">
      <c r="A397" s="2"/>
      <c r="B397" s="47" t="s">
        <v>1101</v>
      </c>
      <c r="C397" s="47" t="s">
        <v>1430</v>
      </c>
      <c r="D397" s="2" t="s">
        <v>56</v>
      </c>
      <c r="E397" s="2" t="s">
        <v>56</v>
      </c>
      <c r="F397" s="48" t="s">
        <v>720</v>
      </c>
      <c r="G397" s="2"/>
      <c r="H397" s="57"/>
      <c r="I397" s="47"/>
      <c r="J397" s="47"/>
      <c r="K397" s="47"/>
      <c r="L397" s="47"/>
      <c r="M397" s="47"/>
      <c r="N397" s="194"/>
      <c r="O397" s="194"/>
      <c r="P397" s="194"/>
      <c r="Q397" s="194"/>
      <c r="R397" s="47"/>
      <c r="S397" s="194"/>
      <c r="T397" s="47"/>
      <c r="U397" s="194"/>
      <c r="V397" s="47"/>
      <c r="W397" s="194"/>
      <c r="X397" s="47"/>
      <c r="Y397" s="194"/>
      <c r="Z397" s="194"/>
      <c r="AA397" s="47"/>
      <c r="AB397" s="47"/>
      <c r="AC397" s="47"/>
      <c r="AD397" s="47"/>
      <c r="AE397" s="194"/>
      <c r="AF397" s="194"/>
      <c r="AG397" s="194"/>
      <c r="AH397" s="5"/>
      <c r="AI397" s="47"/>
      <c r="AJ397" s="223"/>
      <c r="AK397" s="47"/>
      <c r="AL397" s="47"/>
      <c r="AM397" s="47"/>
      <c r="AN397" s="47"/>
      <c r="AO397" s="47"/>
      <c r="AP397" s="194"/>
      <c r="AQ397" s="47"/>
      <c r="AR397" s="47"/>
      <c r="AS397" s="47"/>
      <c r="AT397" s="194"/>
      <c r="AU397" s="194"/>
      <c r="AV397" s="194"/>
      <c r="AW397" s="194"/>
      <c r="AX397" s="194"/>
      <c r="AY397" s="194"/>
      <c r="AZ397" s="194"/>
      <c r="BA397" s="194"/>
      <c r="BB397" s="194"/>
      <c r="BC397" s="194"/>
      <c r="BD397" s="194"/>
      <c r="BE397" s="194"/>
      <c r="BF397" s="194"/>
      <c r="BG397" s="194"/>
      <c r="BH397" s="194"/>
      <c r="BI397" s="194"/>
      <c r="BJ397" s="194"/>
      <c r="BK397" s="194"/>
      <c r="BL397" s="194"/>
      <c r="BM397" s="194"/>
      <c r="BN397" s="194"/>
      <c r="BO397" s="194"/>
      <c r="BP397" s="194"/>
      <c r="BQ397" s="47"/>
      <c r="BR397" s="194"/>
      <c r="BS397" s="47"/>
      <c r="BT397" s="47"/>
      <c r="BU397" s="47"/>
      <c r="BV397" s="47"/>
      <c r="BW397" s="47"/>
      <c r="BX397" s="194"/>
      <c r="BY397" s="194"/>
      <c r="BZ397" s="194"/>
      <c r="CA397" s="194"/>
      <c r="CB397" s="194"/>
      <c r="CC397" s="47"/>
      <c r="CD397" s="47"/>
      <c r="CE397" s="47"/>
      <c r="CF397" s="47"/>
      <c r="CG397" s="47"/>
      <c r="CH397" s="47"/>
      <c r="CI397" s="47"/>
      <c r="CJ397" s="47"/>
      <c r="CK397" s="224"/>
      <c r="CL397" s="194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194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>
        <v>3</v>
      </c>
      <c r="DV397" s="47"/>
      <c r="DW397" s="198">
        <v>4</v>
      </c>
      <c r="DX397" s="47"/>
      <c r="DY397" s="194"/>
      <c r="DZ397" s="47"/>
      <c r="EA397" s="47"/>
      <c r="EB397" s="194"/>
      <c r="EC397" s="47"/>
      <c r="ED397" s="195"/>
      <c r="EE397" s="195">
        <v>3.5</v>
      </c>
      <c r="EF397" s="195"/>
      <c r="EG397" s="195"/>
      <c r="EH397" s="195"/>
      <c r="EI397" s="196">
        <f t="shared" si="21"/>
        <v>0</v>
      </c>
      <c r="EJ397" s="201">
        <f t="shared" si="22"/>
        <v>0</v>
      </c>
      <c r="EK397" s="202">
        <f t="shared" si="23"/>
        <v>3.5</v>
      </c>
      <c r="EL397" s="5"/>
      <c r="FA397" s="251">
        <f t="shared" si="20"/>
        <v>0</v>
      </c>
    </row>
    <row r="398" spans="1:157" s="1" customFormat="1" ht="20.149999999999999" customHeight="1" x14ac:dyDescent="0.35">
      <c r="A398" s="47"/>
      <c r="B398" s="47" t="s">
        <v>1102</v>
      </c>
      <c r="C398" s="47" t="s">
        <v>198</v>
      </c>
      <c r="D398" s="252" t="s">
        <v>56</v>
      </c>
      <c r="E398" s="2" t="s">
        <v>33</v>
      </c>
      <c r="F398" s="2" t="s">
        <v>31</v>
      </c>
      <c r="G398" s="2" t="s">
        <v>37</v>
      </c>
      <c r="H398" s="57">
        <v>3</v>
      </c>
      <c r="I398" s="47"/>
      <c r="J398" s="47"/>
      <c r="K398" s="47"/>
      <c r="L398" s="47"/>
      <c r="M398" s="47"/>
      <c r="N398" s="194"/>
      <c r="O398" s="194"/>
      <c r="P398" s="194"/>
      <c r="Q398" s="194"/>
      <c r="R398" s="47"/>
      <c r="S398" s="194"/>
      <c r="T398" s="47"/>
      <c r="U398" s="194"/>
      <c r="V398" s="47"/>
      <c r="W398" s="194"/>
      <c r="X398" s="47"/>
      <c r="Y398" s="194"/>
      <c r="Z398" s="194"/>
      <c r="AA398" s="47"/>
      <c r="AB398" s="47"/>
      <c r="AC398" s="47"/>
      <c r="AD398" s="47"/>
      <c r="AE398" s="194"/>
      <c r="AF398" s="194"/>
      <c r="AG398" s="194"/>
      <c r="AH398" s="5"/>
      <c r="AI398" s="47"/>
      <c r="AJ398" s="223"/>
      <c r="AK398" s="47"/>
      <c r="AL398" s="47"/>
      <c r="AM398" s="47"/>
      <c r="AN398" s="47"/>
      <c r="AO398" s="47"/>
      <c r="AP398" s="194"/>
      <c r="AQ398" s="47"/>
      <c r="AR398" s="47"/>
      <c r="AS398" s="47"/>
      <c r="AT398" s="194"/>
      <c r="AU398" s="194"/>
      <c r="AV398" s="194"/>
      <c r="AW398" s="194"/>
      <c r="AX398" s="194"/>
      <c r="AY398" s="194"/>
      <c r="AZ398" s="194"/>
      <c r="BA398" s="194"/>
      <c r="BB398" s="194"/>
      <c r="BC398" s="194"/>
      <c r="BD398" s="194"/>
      <c r="BE398" s="194"/>
      <c r="BF398" s="194"/>
      <c r="BG398" s="194"/>
      <c r="BH398" s="194"/>
      <c r="BI398" s="194"/>
      <c r="BJ398" s="194"/>
      <c r="BK398" s="194"/>
      <c r="BL398" s="194"/>
      <c r="BM398" s="194"/>
      <c r="BN398" s="194"/>
      <c r="BO398" s="194"/>
      <c r="BP398" s="194"/>
      <c r="BQ398" s="47"/>
      <c r="BR398" s="194"/>
      <c r="BS398" s="47"/>
      <c r="BT398" s="47"/>
      <c r="BU398" s="47"/>
      <c r="BV398" s="47"/>
      <c r="BW398" s="47"/>
      <c r="BX398" s="194"/>
      <c r="BY398" s="194"/>
      <c r="BZ398" s="194"/>
      <c r="CA398" s="194"/>
      <c r="CB398" s="194"/>
      <c r="CC398" s="47"/>
      <c r="CD398" s="47"/>
      <c r="CE398" s="47"/>
      <c r="CF398" s="47"/>
      <c r="CG398" s="47"/>
      <c r="CH398" s="47"/>
      <c r="CI398" s="47"/>
      <c r="CJ398" s="47"/>
      <c r="CK398" s="224"/>
      <c r="CL398" s="198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194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>
        <v>5</v>
      </c>
      <c r="DV398" s="47"/>
      <c r="DW398" s="198">
        <v>7</v>
      </c>
      <c r="DX398" s="47"/>
      <c r="DY398" s="194"/>
      <c r="DZ398" s="47"/>
      <c r="EA398" s="47"/>
      <c r="EB398" s="194"/>
      <c r="EC398" s="47"/>
      <c r="ED398" s="195"/>
      <c r="EE398" s="195"/>
      <c r="EF398" s="195"/>
      <c r="EG398" s="195"/>
      <c r="EH398" s="195"/>
      <c r="EI398" s="196">
        <f t="shared" si="21"/>
        <v>0</v>
      </c>
      <c r="EJ398" s="201">
        <f t="shared" si="22"/>
        <v>3.81</v>
      </c>
      <c r="EK398" s="202">
        <f t="shared" si="23"/>
        <v>6</v>
      </c>
      <c r="EL398" s="5"/>
      <c r="FA398" s="251">
        <f t="shared" si="20"/>
        <v>3</v>
      </c>
    </row>
    <row r="399" spans="1:157" s="1" customFormat="1" ht="20.149999999999999" customHeight="1" x14ac:dyDescent="0.35">
      <c r="A399" s="47" t="s">
        <v>334</v>
      </c>
      <c r="B399" s="380" t="s">
        <v>1103</v>
      </c>
      <c r="C399" s="380" t="s">
        <v>1568</v>
      </c>
      <c r="D399" s="382"/>
      <c r="E399" s="382" t="s">
        <v>56</v>
      </c>
      <c r="F399" s="391" t="s">
        <v>31</v>
      </c>
      <c r="G399" s="2"/>
      <c r="H399" s="328">
        <v>4</v>
      </c>
      <c r="I399" s="47"/>
      <c r="J399" s="47"/>
      <c r="K399" s="47"/>
      <c r="L399" s="47"/>
      <c r="M399" s="47"/>
      <c r="N399" s="194"/>
      <c r="O399" s="194"/>
      <c r="P399" s="194"/>
      <c r="Q399" s="194"/>
      <c r="R399" s="47"/>
      <c r="S399" s="194"/>
      <c r="T399" s="47"/>
      <c r="U399" s="194"/>
      <c r="V399" s="47"/>
      <c r="W399" s="194"/>
      <c r="X399" s="47"/>
      <c r="Y399" s="194"/>
      <c r="Z399" s="194"/>
      <c r="AA399" s="47"/>
      <c r="AB399" s="47"/>
      <c r="AC399" s="47"/>
      <c r="AD399" s="47"/>
      <c r="AE399" s="194"/>
      <c r="AF399" s="194"/>
      <c r="AG399" s="194"/>
      <c r="AH399" s="5"/>
      <c r="AI399" s="47"/>
      <c r="AJ399" s="223"/>
      <c r="AK399" s="47"/>
      <c r="AL399" s="47"/>
      <c r="AM399" s="47"/>
      <c r="AN399" s="47"/>
      <c r="AO399" s="47"/>
      <c r="AP399" s="194"/>
      <c r="AQ399" s="47"/>
      <c r="AR399" s="47"/>
      <c r="AS399" s="47"/>
      <c r="AT399" s="194"/>
      <c r="AU399" s="194"/>
      <c r="AV399" s="194"/>
      <c r="AW399" s="194"/>
      <c r="AX399" s="194"/>
      <c r="AY399" s="194"/>
      <c r="AZ399" s="194"/>
      <c r="BA399" s="194"/>
      <c r="BB399" s="194"/>
      <c r="BC399" s="194"/>
      <c r="BD399" s="194"/>
      <c r="BE399" s="194"/>
      <c r="BF399" s="194"/>
      <c r="BG399" s="194"/>
      <c r="BH399" s="194"/>
      <c r="BI399" s="194"/>
      <c r="BJ399" s="194"/>
      <c r="BK399" s="194"/>
      <c r="BL399" s="194"/>
      <c r="BM399" s="194"/>
      <c r="BN399" s="194"/>
      <c r="BO399" s="194"/>
      <c r="BP399" s="194"/>
      <c r="BQ399" s="47"/>
      <c r="BR399" s="194"/>
      <c r="BS399" s="47"/>
      <c r="BT399" s="47"/>
      <c r="BU399" s="47"/>
      <c r="BV399" s="47"/>
      <c r="BW399" s="47"/>
      <c r="BX399" s="194"/>
      <c r="BY399" s="194"/>
      <c r="BZ399" s="194"/>
      <c r="CA399" s="194"/>
      <c r="CB399" s="194"/>
      <c r="CC399" s="47"/>
      <c r="CD399" s="47"/>
      <c r="CE399" s="47"/>
      <c r="CF399" s="47"/>
      <c r="CG399" s="47"/>
      <c r="CH399" s="47"/>
      <c r="CI399" s="47"/>
      <c r="CJ399" s="47"/>
      <c r="CK399" s="224"/>
      <c r="CL399" s="198">
        <v>9</v>
      </c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194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198"/>
      <c r="DX399" s="47"/>
      <c r="DY399" s="194"/>
      <c r="DZ399" s="47"/>
      <c r="EA399" s="47"/>
      <c r="EB399" s="194"/>
      <c r="EC399" s="47"/>
      <c r="ED399" s="195"/>
      <c r="EE399" s="195"/>
      <c r="EF399" s="195"/>
      <c r="EG399" s="195"/>
      <c r="EH399" s="195"/>
      <c r="EI399" s="196">
        <f t="shared" si="21"/>
        <v>0</v>
      </c>
      <c r="EJ399" s="201">
        <f t="shared" si="22"/>
        <v>5.08</v>
      </c>
      <c r="EK399" s="202">
        <v>0</v>
      </c>
      <c r="EL399" s="5"/>
      <c r="FA399" s="251">
        <f t="shared" si="20"/>
        <v>4</v>
      </c>
    </row>
    <row r="400" spans="1:157" s="1" customFormat="1" ht="20.149999999999999" customHeight="1" x14ac:dyDescent="0.35">
      <c r="A400" s="2"/>
      <c r="B400" s="47" t="s">
        <v>1104</v>
      </c>
      <c r="C400" s="47" t="s">
        <v>1569</v>
      </c>
      <c r="D400" s="252" t="s">
        <v>56</v>
      </c>
      <c r="E400" s="2" t="s">
        <v>33</v>
      </c>
      <c r="F400" s="2" t="s">
        <v>572</v>
      </c>
      <c r="G400" s="375" t="s">
        <v>570</v>
      </c>
      <c r="H400" s="57">
        <v>3.6</v>
      </c>
      <c r="I400" s="47"/>
      <c r="J400" s="47"/>
      <c r="K400" s="47"/>
      <c r="L400" s="47"/>
      <c r="M400" s="47"/>
      <c r="N400" s="194"/>
      <c r="O400" s="194"/>
      <c r="P400" s="194"/>
      <c r="Q400" s="194"/>
      <c r="R400" s="47"/>
      <c r="S400" s="194"/>
      <c r="T400" s="47"/>
      <c r="U400" s="194"/>
      <c r="V400" s="47"/>
      <c r="W400" s="194"/>
      <c r="X400" s="47"/>
      <c r="Y400" s="194"/>
      <c r="Z400" s="194"/>
      <c r="AA400" s="47"/>
      <c r="AB400" s="47"/>
      <c r="AC400" s="47"/>
      <c r="AD400" s="47"/>
      <c r="AE400" s="194"/>
      <c r="AF400" s="194"/>
      <c r="AG400" s="194"/>
      <c r="AH400" s="5"/>
      <c r="AI400" s="47"/>
      <c r="AJ400" s="223"/>
      <c r="AK400" s="47"/>
      <c r="AL400" s="47"/>
      <c r="AM400" s="47"/>
      <c r="AN400" s="47"/>
      <c r="AO400" s="47"/>
      <c r="AP400" s="194"/>
      <c r="AQ400" s="47"/>
      <c r="AR400" s="47"/>
      <c r="AS400" s="47"/>
      <c r="AT400" s="194"/>
      <c r="AU400" s="194"/>
      <c r="AV400" s="194"/>
      <c r="AW400" s="194"/>
      <c r="AX400" s="194"/>
      <c r="AY400" s="194"/>
      <c r="AZ400" s="194"/>
      <c r="BA400" s="194"/>
      <c r="BB400" s="194"/>
      <c r="BC400" s="194"/>
      <c r="BD400" s="194"/>
      <c r="BE400" s="194"/>
      <c r="BF400" s="194"/>
      <c r="BG400" s="194"/>
      <c r="BH400" s="194"/>
      <c r="BI400" s="194"/>
      <c r="BJ400" s="194"/>
      <c r="BK400" s="194"/>
      <c r="BL400" s="194">
        <f>40/80</f>
        <v>0.5</v>
      </c>
      <c r="BM400" s="194"/>
      <c r="BN400" s="194"/>
      <c r="BO400" s="194"/>
      <c r="BP400" s="194"/>
      <c r="BQ400" s="47"/>
      <c r="BR400" s="194">
        <v>0.5</v>
      </c>
      <c r="BS400" s="47"/>
      <c r="BT400" s="47"/>
      <c r="BU400" s="47"/>
      <c r="BV400" s="47"/>
      <c r="BW400" s="47"/>
      <c r="BX400" s="194"/>
      <c r="BY400" s="194"/>
      <c r="BZ400" s="194"/>
      <c r="CA400" s="194"/>
      <c r="CB400" s="194"/>
      <c r="CC400" s="47"/>
      <c r="CD400" s="47"/>
      <c r="CE400" s="47"/>
      <c r="CF400" s="47"/>
      <c r="CG400" s="47"/>
      <c r="CH400" s="47"/>
      <c r="CI400" s="47"/>
      <c r="CJ400" s="47"/>
      <c r="CK400" s="224"/>
      <c r="CL400" s="194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194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198">
        <v>0.5</v>
      </c>
      <c r="DX400" s="47"/>
      <c r="DY400" s="194"/>
      <c r="DZ400" s="47"/>
      <c r="EA400" s="47"/>
      <c r="EB400" s="194"/>
      <c r="EC400" s="47"/>
      <c r="ED400" s="195"/>
      <c r="EE400" s="195"/>
      <c r="EF400" s="195"/>
      <c r="EG400" s="195"/>
      <c r="EH400" s="195"/>
      <c r="EI400" s="196">
        <f t="shared" si="21"/>
        <v>0</v>
      </c>
      <c r="EJ400" s="201">
        <f t="shared" si="22"/>
        <v>4.5720000000000001</v>
      </c>
      <c r="EK400" s="202">
        <f t="shared" si="23"/>
        <v>0.5</v>
      </c>
      <c r="EL400" s="5"/>
      <c r="FA400" s="251">
        <f t="shared" si="20"/>
        <v>3.6</v>
      </c>
    </row>
    <row r="401" spans="1:157" s="1" customFormat="1" ht="20.149999999999999" customHeight="1" x14ac:dyDescent="0.35">
      <c r="A401" s="2"/>
      <c r="B401" s="47" t="s">
        <v>1105</v>
      </c>
      <c r="C401" s="47" t="s">
        <v>199</v>
      </c>
      <c r="D401" s="252" t="s">
        <v>638</v>
      </c>
      <c r="E401" s="2" t="s">
        <v>33</v>
      </c>
      <c r="F401" s="2" t="s">
        <v>74</v>
      </c>
      <c r="G401" s="375" t="s">
        <v>75</v>
      </c>
      <c r="H401" s="328">
        <v>0.45</v>
      </c>
      <c r="I401" s="47"/>
      <c r="J401" s="47"/>
      <c r="K401" s="47"/>
      <c r="L401" s="47"/>
      <c r="M401" s="47"/>
      <c r="N401" s="194"/>
      <c r="O401" s="194"/>
      <c r="P401" s="194"/>
      <c r="Q401" s="194"/>
      <c r="R401" s="47"/>
      <c r="S401" s="194"/>
      <c r="T401" s="47"/>
      <c r="U401" s="194"/>
      <c r="V401" s="47"/>
      <c r="W401" s="194"/>
      <c r="X401" s="47"/>
      <c r="Y401" s="194"/>
      <c r="Z401" s="194"/>
      <c r="AA401" s="47"/>
      <c r="AB401" s="47"/>
      <c r="AC401" s="47"/>
      <c r="AD401" s="47"/>
      <c r="AE401" s="194"/>
      <c r="AF401" s="194"/>
      <c r="AG401" s="194"/>
      <c r="AH401" s="5"/>
      <c r="AI401" s="47"/>
      <c r="AJ401" s="223"/>
      <c r="AK401" s="47"/>
      <c r="AL401" s="47"/>
      <c r="AM401" s="47"/>
      <c r="AN401" s="47"/>
      <c r="AO401" s="47"/>
      <c r="AP401" s="194"/>
      <c r="AQ401" s="47"/>
      <c r="AR401" s="47"/>
      <c r="AS401" s="47"/>
      <c r="AT401" s="194"/>
      <c r="AU401" s="194"/>
      <c r="AV401" s="194"/>
      <c r="AW401" s="194"/>
      <c r="AX401" s="194"/>
      <c r="AY401" s="194"/>
      <c r="AZ401" s="194"/>
      <c r="BA401" s="194"/>
      <c r="BB401" s="194"/>
      <c r="BC401" s="194"/>
      <c r="BD401" s="194"/>
      <c r="BE401" s="194"/>
      <c r="BF401" s="194"/>
      <c r="BG401" s="194"/>
      <c r="BH401" s="194"/>
      <c r="BI401" s="194"/>
      <c r="BJ401" s="194"/>
      <c r="BK401" s="194"/>
      <c r="BL401" s="194"/>
      <c r="BM401" s="194"/>
      <c r="BN401" s="194"/>
      <c r="BO401" s="194"/>
      <c r="BP401" s="194"/>
      <c r="BQ401" s="47"/>
      <c r="BR401" s="194"/>
      <c r="BS401" s="47"/>
      <c r="BT401" s="47"/>
      <c r="BU401" s="47"/>
      <c r="BV401" s="47"/>
      <c r="BW401" s="47"/>
      <c r="BX401" s="194"/>
      <c r="BY401" s="194"/>
      <c r="BZ401" s="194"/>
      <c r="CA401" s="194"/>
      <c r="CB401" s="194"/>
      <c r="CC401" s="47"/>
      <c r="CD401" s="47"/>
      <c r="CE401" s="47"/>
      <c r="CF401" s="47"/>
      <c r="CG401" s="47"/>
      <c r="CH401" s="47"/>
      <c r="CI401" s="47"/>
      <c r="CJ401" s="47"/>
      <c r="CK401" s="224"/>
      <c r="CL401" s="194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194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198"/>
      <c r="DX401" s="47"/>
      <c r="DY401" s="194"/>
      <c r="DZ401" s="47"/>
      <c r="EA401" s="47"/>
      <c r="EB401" s="194"/>
      <c r="EC401" s="47"/>
      <c r="ED401" s="195"/>
      <c r="EE401" s="195"/>
      <c r="EF401" s="195"/>
      <c r="EG401" s="195"/>
      <c r="EH401" s="195"/>
      <c r="EI401" s="196"/>
      <c r="EJ401" s="201"/>
      <c r="EK401" s="202"/>
      <c r="EL401" s="5"/>
      <c r="FA401" s="251">
        <f t="shared" si="20"/>
        <v>0.45</v>
      </c>
    </row>
    <row r="402" spans="1:157" s="1" customFormat="1" ht="20.149999999999999" customHeight="1" x14ac:dyDescent="0.35">
      <c r="A402" s="47"/>
      <c r="B402" s="373" t="s">
        <v>1433</v>
      </c>
      <c r="C402" s="373" t="s">
        <v>1434</v>
      </c>
      <c r="D402" s="386" t="s">
        <v>638</v>
      </c>
      <c r="E402" s="374" t="s">
        <v>33</v>
      </c>
      <c r="F402" s="374" t="s">
        <v>31</v>
      </c>
      <c r="G402" s="2" t="s">
        <v>75</v>
      </c>
      <c r="H402" s="328">
        <f>1.6</f>
        <v>1.6</v>
      </c>
      <c r="I402" s="47"/>
      <c r="J402" s="47"/>
      <c r="K402" s="47"/>
      <c r="L402" s="47"/>
      <c r="M402" s="47"/>
      <c r="N402" s="194"/>
      <c r="O402" s="194"/>
      <c r="P402" s="194"/>
      <c r="Q402" s="194"/>
      <c r="R402" s="47"/>
      <c r="S402" s="194"/>
      <c r="T402" s="47"/>
      <c r="U402" s="194"/>
      <c r="V402" s="47"/>
      <c r="W402" s="194"/>
      <c r="X402" s="47"/>
      <c r="Y402" s="194"/>
      <c r="Z402" s="194"/>
      <c r="AA402" s="47"/>
      <c r="AB402" s="47"/>
      <c r="AC402" s="47"/>
      <c r="AD402" s="47"/>
      <c r="AE402" s="194"/>
      <c r="AF402" s="194"/>
      <c r="AG402" s="194"/>
      <c r="AH402" s="5"/>
      <c r="AI402" s="47"/>
      <c r="AJ402" s="198"/>
      <c r="AK402" s="47"/>
      <c r="AL402" s="47"/>
      <c r="AM402" s="47"/>
      <c r="AN402" s="47"/>
      <c r="AO402" s="47"/>
      <c r="AP402" s="194"/>
      <c r="AQ402" s="47"/>
      <c r="AR402" s="47"/>
      <c r="AS402" s="47"/>
      <c r="AT402" s="194"/>
      <c r="AU402" s="194"/>
      <c r="AV402" s="194"/>
      <c r="AW402" s="194"/>
      <c r="AX402" s="194"/>
      <c r="AY402" s="194"/>
      <c r="AZ402" s="194"/>
      <c r="BA402" s="194"/>
      <c r="BB402" s="194"/>
      <c r="BC402" s="194"/>
      <c r="BD402" s="194"/>
      <c r="BE402" s="194"/>
      <c r="BF402" s="194"/>
      <c r="BG402" s="194"/>
      <c r="BH402" s="194"/>
      <c r="BI402" s="194">
        <v>30</v>
      </c>
      <c r="BJ402" s="194"/>
      <c r="BK402" s="194"/>
      <c r="BL402" s="194"/>
      <c r="BM402" s="194"/>
      <c r="BN402" s="194"/>
      <c r="BO402" s="194"/>
      <c r="BP402" s="194"/>
      <c r="BQ402" s="47"/>
      <c r="BR402" s="194"/>
      <c r="BS402" s="47"/>
      <c r="BT402" s="47"/>
      <c r="BU402" s="47"/>
      <c r="BV402" s="47"/>
      <c r="BW402" s="47"/>
      <c r="BX402" s="194"/>
      <c r="BY402" s="194"/>
      <c r="BZ402" s="194"/>
      <c r="CA402" s="194"/>
      <c r="CB402" s="194"/>
      <c r="CC402" s="47"/>
      <c r="CD402" s="47"/>
      <c r="CE402" s="47"/>
      <c r="CF402" s="47"/>
      <c r="CG402" s="47"/>
      <c r="CH402" s="47"/>
      <c r="CI402" s="47"/>
      <c r="CJ402" s="47"/>
      <c r="CK402" s="47"/>
      <c r="CL402" s="194"/>
      <c r="CM402" s="47"/>
      <c r="CN402" s="47"/>
      <c r="CO402" s="47"/>
      <c r="CP402" s="47"/>
      <c r="CQ402" s="47"/>
      <c r="CR402" s="47"/>
      <c r="CS402" s="198"/>
      <c r="CT402" s="47"/>
      <c r="CU402" s="47"/>
      <c r="CV402" s="47"/>
      <c r="CW402" s="47"/>
      <c r="CX402" s="194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198"/>
      <c r="DX402" s="47">
        <v>25</v>
      </c>
      <c r="DY402" s="194"/>
      <c r="DZ402" s="47"/>
      <c r="EA402" s="47"/>
      <c r="EB402" s="194"/>
      <c r="EC402" s="47"/>
      <c r="ED402" s="195"/>
      <c r="EE402" s="195"/>
      <c r="EF402" s="195"/>
      <c r="EG402" s="195"/>
      <c r="EH402" s="195"/>
      <c r="EI402" s="196">
        <f t="shared" si="21"/>
        <v>0</v>
      </c>
      <c r="EJ402" s="201">
        <f t="shared" si="22"/>
        <v>2.032</v>
      </c>
      <c r="EK402" s="202">
        <v>0</v>
      </c>
      <c r="EL402" s="5"/>
      <c r="FA402" s="251">
        <f t="shared" si="20"/>
        <v>1.6</v>
      </c>
    </row>
    <row r="403" spans="1:157" s="1" customFormat="1" ht="20.149999999999999" customHeight="1" x14ac:dyDescent="0.35">
      <c r="A403" s="47"/>
      <c r="B403" s="47" t="s">
        <v>1570</v>
      </c>
      <c r="C403" s="47" t="s">
        <v>1571</v>
      </c>
      <c r="D403" s="252" t="s">
        <v>638</v>
      </c>
      <c r="E403" s="2" t="s">
        <v>33</v>
      </c>
      <c r="F403" s="2" t="s">
        <v>31</v>
      </c>
      <c r="G403" s="2" t="s">
        <v>37</v>
      </c>
      <c r="H403" s="328">
        <f>34/15</f>
        <v>2.2666666666666666</v>
      </c>
      <c r="I403" s="47"/>
      <c r="J403" s="47"/>
      <c r="K403" s="47"/>
      <c r="L403" s="47"/>
      <c r="M403" s="47"/>
      <c r="N403" s="194"/>
      <c r="O403" s="194"/>
      <c r="P403" s="194"/>
      <c r="Q403" s="194"/>
      <c r="R403" s="47"/>
      <c r="S403" s="194"/>
      <c r="T403" s="47"/>
      <c r="U403" s="194"/>
      <c r="V403" s="47"/>
      <c r="W403" s="194"/>
      <c r="X403" s="47"/>
      <c r="Y403" s="194"/>
      <c r="Z403" s="194"/>
      <c r="AA403" s="47"/>
      <c r="AB403" s="47"/>
      <c r="AC403" s="47"/>
      <c r="AD403" s="47"/>
      <c r="AE403" s="194"/>
      <c r="AF403" s="194"/>
      <c r="AG403" s="194"/>
      <c r="AH403" s="5"/>
      <c r="AI403" s="47"/>
      <c r="AJ403" s="198"/>
      <c r="AK403" s="47"/>
      <c r="AL403" s="47"/>
      <c r="AM403" s="47"/>
      <c r="AN403" s="47"/>
      <c r="AO403" s="47"/>
      <c r="AP403" s="194"/>
      <c r="AQ403" s="47"/>
      <c r="AR403" s="47"/>
      <c r="AS403" s="47"/>
      <c r="AT403" s="194"/>
      <c r="AU403" s="194"/>
      <c r="AV403" s="194"/>
      <c r="AW403" s="194"/>
      <c r="AX403" s="194"/>
      <c r="AY403" s="194"/>
      <c r="AZ403" s="194"/>
      <c r="BA403" s="194"/>
      <c r="BB403" s="194"/>
      <c r="BC403" s="194"/>
      <c r="BD403" s="194"/>
      <c r="BE403" s="194"/>
      <c r="BF403" s="194"/>
      <c r="BG403" s="194"/>
      <c r="BH403" s="194"/>
      <c r="BI403" s="194"/>
      <c r="BJ403" s="194"/>
      <c r="BK403" s="194"/>
      <c r="BL403" s="194"/>
      <c r="BM403" s="194"/>
      <c r="BN403" s="194"/>
      <c r="BO403" s="194"/>
      <c r="BP403" s="194"/>
      <c r="BQ403" s="47"/>
      <c r="BR403" s="194"/>
      <c r="BS403" s="47"/>
      <c r="BT403" s="47"/>
      <c r="BU403" s="47"/>
      <c r="BV403" s="47"/>
      <c r="BW403" s="47"/>
      <c r="BX403" s="194"/>
      <c r="BY403" s="194"/>
      <c r="BZ403" s="194"/>
      <c r="CA403" s="194"/>
      <c r="CB403" s="194"/>
      <c r="CC403" s="47"/>
      <c r="CD403" s="47"/>
      <c r="CE403" s="47"/>
      <c r="CF403" s="47"/>
      <c r="CG403" s="47"/>
      <c r="CH403" s="47"/>
      <c r="CI403" s="47"/>
      <c r="CJ403" s="47"/>
      <c r="CK403" s="47"/>
      <c r="CL403" s="194"/>
      <c r="CM403" s="47"/>
      <c r="CN403" s="47"/>
      <c r="CO403" s="47"/>
      <c r="CP403" s="47"/>
      <c r="CQ403" s="47"/>
      <c r="CR403" s="47"/>
      <c r="CS403" s="198"/>
      <c r="CT403" s="47"/>
      <c r="CU403" s="47"/>
      <c r="CV403" s="47"/>
      <c r="CW403" s="47"/>
      <c r="CX403" s="194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198"/>
      <c r="DX403" s="47"/>
      <c r="DY403" s="194"/>
      <c r="DZ403" s="47"/>
      <c r="EA403" s="47"/>
      <c r="EB403" s="194"/>
      <c r="EC403" s="47"/>
      <c r="ED403" s="195"/>
      <c r="EE403" s="195"/>
      <c r="EF403" s="195"/>
      <c r="EG403" s="195"/>
      <c r="EH403" s="195"/>
      <c r="EI403" s="196">
        <f t="shared" si="21"/>
        <v>0</v>
      </c>
      <c r="EJ403" s="201">
        <f t="shared" si="22"/>
        <v>2.8786666666666667</v>
      </c>
      <c r="EK403" s="202">
        <v>0</v>
      </c>
      <c r="EL403" s="5"/>
      <c r="FA403" s="251">
        <f t="shared" si="20"/>
        <v>2.2666666666666666</v>
      </c>
    </row>
    <row r="404" spans="1:157" s="1" customFormat="1" ht="20.149999999999999" customHeight="1" x14ac:dyDescent="0.35">
      <c r="A404" s="47"/>
      <c r="B404" s="380" t="s">
        <v>1572</v>
      </c>
      <c r="C404" s="380" t="s">
        <v>1573</v>
      </c>
      <c r="D404" s="381" t="s">
        <v>1574</v>
      </c>
      <c r="E404" s="382"/>
      <c r="F404" s="382" t="s">
        <v>65</v>
      </c>
      <c r="G404" s="2" t="s">
        <v>82</v>
      </c>
      <c r="H404" s="328">
        <f>16/5</f>
        <v>3.2</v>
      </c>
      <c r="I404" s="47"/>
      <c r="J404" s="47"/>
      <c r="K404" s="47"/>
      <c r="L404" s="47"/>
      <c r="M404" s="47"/>
      <c r="N404" s="194"/>
      <c r="O404" s="194"/>
      <c r="P404" s="194"/>
      <c r="Q404" s="194"/>
      <c r="R404" s="47"/>
      <c r="S404" s="194"/>
      <c r="T404" s="47"/>
      <c r="U404" s="194"/>
      <c r="V404" s="47"/>
      <c r="W404" s="194"/>
      <c r="X404" s="47"/>
      <c r="Y404" s="194"/>
      <c r="Z404" s="194"/>
      <c r="AA404" s="47"/>
      <c r="AB404" s="47"/>
      <c r="AC404" s="47"/>
      <c r="AD404" s="47"/>
      <c r="AE404" s="194"/>
      <c r="AF404" s="194"/>
      <c r="AG404" s="194"/>
      <c r="AH404" s="5"/>
      <c r="AI404" s="47"/>
      <c r="AJ404" s="198"/>
      <c r="AK404" s="47"/>
      <c r="AL404" s="47"/>
      <c r="AM404" s="47"/>
      <c r="AN404" s="47"/>
      <c r="AO404" s="47"/>
      <c r="AP404" s="194"/>
      <c r="AQ404" s="47"/>
      <c r="AR404" s="47"/>
      <c r="AS404" s="47"/>
      <c r="AT404" s="194"/>
      <c r="AU404" s="194"/>
      <c r="AV404" s="194"/>
      <c r="AW404" s="194"/>
      <c r="AX404" s="194"/>
      <c r="AY404" s="194"/>
      <c r="AZ404" s="194"/>
      <c r="BA404" s="194"/>
      <c r="BB404" s="194"/>
      <c r="BC404" s="194"/>
      <c r="BD404" s="194"/>
      <c r="BE404" s="194"/>
      <c r="BF404" s="194"/>
      <c r="BG404" s="194"/>
      <c r="BH404" s="194"/>
      <c r="BI404" s="194"/>
      <c r="BJ404" s="194"/>
      <c r="BK404" s="194"/>
      <c r="BL404" s="194"/>
      <c r="BM404" s="194"/>
      <c r="BN404" s="194"/>
      <c r="BO404" s="194"/>
      <c r="BP404" s="194"/>
      <c r="BQ404" s="47"/>
      <c r="BR404" s="194"/>
      <c r="BS404" s="47"/>
      <c r="BT404" s="47"/>
      <c r="BU404" s="47"/>
      <c r="BV404" s="47"/>
      <c r="BW404" s="47"/>
      <c r="BX404" s="194"/>
      <c r="BY404" s="194"/>
      <c r="BZ404" s="194"/>
      <c r="CA404" s="194"/>
      <c r="CB404" s="194"/>
      <c r="CC404" s="47"/>
      <c r="CD404" s="47"/>
      <c r="CE404" s="47"/>
      <c r="CF404" s="47"/>
      <c r="CG404" s="47"/>
      <c r="CH404" s="47"/>
      <c r="CI404" s="47"/>
      <c r="CJ404" s="47"/>
      <c r="CK404" s="47"/>
      <c r="CL404" s="194"/>
      <c r="CM404" s="47"/>
      <c r="CN404" s="47"/>
      <c r="CO404" s="47"/>
      <c r="CP404" s="47"/>
      <c r="CQ404" s="47"/>
      <c r="CR404" s="47"/>
      <c r="CS404" s="198"/>
      <c r="CT404" s="47"/>
      <c r="CU404" s="47"/>
      <c r="CV404" s="47"/>
      <c r="CW404" s="47"/>
      <c r="CX404" s="194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198"/>
      <c r="DX404" s="47"/>
      <c r="DY404" s="194"/>
      <c r="DZ404" s="47"/>
      <c r="EA404" s="47"/>
      <c r="EB404" s="194"/>
      <c r="EC404" s="47"/>
      <c r="ED404" s="195"/>
      <c r="EE404" s="195"/>
      <c r="EF404" s="195"/>
      <c r="EG404" s="195"/>
      <c r="EH404" s="195"/>
      <c r="EI404" s="196">
        <f t="shared" si="21"/>
        <v>0</v>
      </c>
      <c r="EJ404" s="201">
        <f t="shared" si="22"/>
        <v>4.0640000000000001</v>
      </c>
      <c r="EK404" s="202">
        <v>0</v>
      </c>
      <c r="EL404" s="5"/>
      <c r="FA404" s="251">
        <f t="shared" si="20"/>
        <v>3.2</v>
      </c>
    </row>
    <row r="405" spans="1:157" s="1" customFormat="1" ht="20.149999999999999" customHeight="1" x14ac:dyDescent="0.35">
      <c r="A405" s="2"/>
      <c r="B405" s="47" t="s">
        <v>859</v>
      </c>
      <c r="C405" s="47" t="s">
        <v>1535</v>
      </c>
      <c r="D405" s="252" t="s">
        <v>56</v>
      </c>
      <c r="E405" s="2" t="s">
        <v>387</v>
      </c>
      <c r="F405" s="2" t="s">
        <v>1536</v>
      </c>
      <c r="G405" s="375" t="s">
        <v>38</v>
      </c>
      <c r="H405" s="328">
        <f>22.08/12*1.08</f>
        <v>1.9872000000000001</v>
      </c>
      <c r="I405" s="47"/>
      <c r="J405" s="47"/>
      <c r="K405" s="47"/>
      <c r="L405" s="47"/>
      <c r="M405" s="47">
        <v>2.8</v>
      </c>
      <c r="N405" s="194"/>
      <c r="O405" s="194"/>
      <c r="P405" s="194"/>
      <c r="Q405" s="194"/>
      <c r="R405" s="47"/>
      <c r="S405" s="194">
        <v>2.5</v>
      </c>
      <c r="T405" s="47"/>
      <c r="U405" s="194"/>
      <c r="V405" s="47"/>
      <c r="W405" s="194"/>
      <c r="X405" s="47">
        <v>2.5</v>
      </c>
      <c r="Y405" s="194"/>
      <c r="Z405" s="194"/>
      <c r="AA405" s="47"/>
      <c r="AB405" s="47">
        <v>2.8</v>
      </c>
      <c r="AC405" s="47"/>
      <c r="AD405" s="47"/>
      <c r="AE405" s="194"/>
      <c r="AF405" s="194">
        <v>2.7</v>
      </c>
      <c r="AG405" s="194">
        <v>2.8</v>
      </c>
      <c r="AH405" s="5"/>
      <c r="AI405" s="47">
        <v>2.8</v>
      </c>
      <c r="AJ405" s="223"/>
      <c r="AK405" s="47"/>
      <c r="AL405" s="47">
        <v>2.8</v>
      </c>
      <c r="AM405" s="47"/>
      <c r="AN405" s="47"/>
      <c r="AO405" s="47"/>
      <c r="AP405" s="194">
        <v>2.8</v>
      </c>
      <c r="AQ405" s="47"/>
      <c r="AR405" s="47">
        <v>2.8</v>
      </c>
      <c r="AS405" s="47">
        <v>2.5</v>
      </c>
      <c r="AT405" s="194">
        <v>2.5</v>
      </c>
      <c r="AU405" s="194">
        <v>2.5</v>
      </c>
      <c r="AV405" s="194"/>
      <c r="AW405" s="194"/>
      <c r="AX405" s="194"/>
      <c r="AY405" s="194">
        <v>2.5</v>
      </c>
      <c r="AZ405" s="194"/>
      <c r="BA405" s="194"/>
      <c r="BB405" s="194"/>
      <c r="BC405" s="194"/>
      <c r="BD405" s="194"/>
      <c r="BE405" s="194"/>
      <c r="BF405" s="194"/>
      <c r="BG405" s="194"/>
      <c r="BH405" s="194"/>
      <c r="BI405" s="194"/>
      <c r="BJ405" s="194"/>
      <c r="BK405" s="194"/>
      <c r="BL405" s="194"/>
      <c r="BM405" s="194"/>
      <c r="BN405" s="194"/>
      <c r="BO405" s="194"/>
      <c r="BP405" s="194"/>
      <c r="BQ405" s="47"/>
      <c r="BR405" s="194"/>
      <c r="BS405" s="47">
        <v>2.5</v>
      </c>
      <c r="BT405" s="47"/>
      <c r="BU405" s="47"/>
      <c r="BV405" s="47"/>
      <c r="BW405" s="47"/>
      <c r="BX405" s="194">
        <v>2.8</v>
      </c>
      <c r="BY405" s="194"/>
      <c r="BZ405" s="194"/>
      <c r="CA405" s="194"/>
      <c r="CB405" s="194"/>
      <c r="CC405" s="47"/>
      <c r="CD405" s="47"/>
      <c r="CE405" s="47"/>
      <c r="CF405" s="47"/>
      <c r="CG405" s="47">
        <v>2.5</v>
      </c>
      <c r="CH405" s="47"/>
      <c r="CI405" s="47"/>
      <c r="CJ405" s="47"/>
      <c r="CK405" s="194"/>
      <c r="CL405" s="194">
        <v>2.5</v>
      </c>
      <c r="CM405" s="47"/>
      <c r="CN405" s="47"/>
      <c r="CO405" s="47"/>
      <c r="CP405" s="47">
        <v>2.5</v>
      </c>
      <c r="CQ405" s="47"/>
      <c r="CR405" s="47">
        <v>2.5</v>
      </c>
      <c r="CS405" s="47"/>
      <c r="CT405" s="47"/>
      <c r="CU405" s="47"/>
      <c r="CV405" s="47">
        <v>2.5</v>
      </c>
      <c r="CW405" s="47"/>
      <c r="CX405" s="194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>
        <v>2.5</v>
      </c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198"/>
      <c r="DX405" s="47"/>
      <c r="DY405" s="194"/>
      <c r="DZ405" s="47"/>
      <c r="EA405" s="47"/>
      <c r="EB405" s="194"/>
      <c r="EC405" s="47"/>
      <c r="ED405" s="195"/>
      <c r="EE405" s="195"/>
      <c r="EF405" s="195"/>
      <c r="EG405" s="195"/>
      <c r="EH405" s="195">
        <v>65</v>
      </c>
      <c r="EI405" s="196">
        <f t="shared" si="21"/>
        <v>129.16800000000001</v>
      </c>
      <c r="EJ405" s="201">
        <f t="shared" si="22"/>
        <v>2.5237440000000002</v>
      </c>
      <c r="EK405" s="202">
        <v>2</v>
      </c>
      <c r="EL405" s="5"/>
      <c r="FA405" s="251">
        <f t="shared" si="20"/>
        <v>1.9872000000000001</v>
      </c>
    </row>
    <row r="406" spans="1:157" s="1" customFormat="1" ht="20.149999999999999" customHeight="1" x14ac:dyDescent="0.35">
      <c r="A406" s="47"/>
      <c r="B406" s="47" t="s">
        <v>1106</v>
      </c>
      <c r="C406" s="47" t="s">
        <v>1535</v>
      </c>
      <c r="D406" s="252" t="s">
        <v>56</v>
      </c>
      <c r="E406" s="2" t="s">
        <v>1310</v>
      </c>
      <c r="F406" s="2" t="s">
        <v>1536</v>
      </c>
      <c r="G406" s="375" t="s">
        <v>76</v>
      </c>
      <c r="H406" s="328">
        <f t="shared" ref="H406:H407" si="24">22.08/12*1.08</f>
        <v>1.9872000000000001</v>
      </c>
      <c r="I406" s="47"/>
      <c r="J406" s="47"/>
      <c r="K406" s="47"/>
      <c r="L406" s="47"/>
      <c r="M406" s="47">
        <v>2.8</v>
      </c>
      <c r="N406" s="194"/>
      <c r="O406" s="194"/>
      <c r="P406" s="194"/>
      <c r="Q406" s="194"/>
      <c r="R406" s="47"/>
      <c r="S406" s="194">
        <v>2.5</v>
      </c>
      <c r="T406" s="47"/>
      <c r="U406" s="194"/>
      <c r="V406" s="47"/>
      <c r="W406" s="194"/>
      <c r="X406" s="47">
        <v>2.5</v>
      </c>
      <c r="Y406" s="194"/>
      <c r="Z406" s="194"/>
      <c r="AA406" s="47"/>
      <c r="AB406" s="47">
        <v>2.8</v>
      </c>
      <c r="AC406" s="47"/>
      <c r="AD406" s="47"/>
      <c r="AE406" s="194"/>
      <c r="AF406" s="194">
        <v>2.7</v>
      </c>
      <c r="AG406" s="194"/>
      <c r="AH406" s="5"/>
      <c r="AI406" s="47"/>
      <c r="AJ406" s="223"/>
      <c r="AK406" s="47"/>
      <c r="AL406" s="47"/>
      <c r="AM406" s="47"/>
      <c r="AN406" s="47"/>
      <c r="AO406" s="47"/>
      <c r="AP406" s="194"/>
      <c r="AQ406" s="47"/>
      <c r="AR406" s="47">
        <v>2.8</v>
      </c>
      <c r="AS406" s="47">
        <v>2.5</v>
      </c>
      <c r="AT406" s="194">
        <v>2.5</v>
      </c>
      <c r="AU406" s="194">
        <v>2.5</v>
      </c>
      <c r="AV406" s="194"/>
      <c r="AW406" s="194"/>
      <c r="AX406" s="194"/>
      <c r="AY406" s="194">
        <v>2.5</v>
      </c>
      <c r="AZ406" s="194"/>
      <c r="BA406" s="194"/>
      <c r="BB406" s="194"/>
      <c r="BC406" s="194"/>
      <c r="BD406" s="194"/>
      <c r="BE406" s="194"/>
      <c r="BF406" s="194"/>
      <c r="BG406" s="194"/>
      <c r="BH406" s="194"/>
      <c r="BI406" s="194"/>
      <c r="BJ406" s="194"/>
      <c r="BK406" s="194"/>
      <c r="BL406" s="194"/>
      <c r="BM406" s="194">
        <v>2.5</v>
      </c>
      <c r="BN406" s="194"/>
      <c r="BO406" s="194"/>
      <c r="BP406" s="194"/>
      <c r="BQ406" s="47"/>
      <c r="BR406" s="194"/>
      <c r="BS406" s="47">
        <v>2.5</v>
      </c>
      <c r="BT406" s="47"/>
      <c r="BU406" s="47"/>
      <c r="BV406" s="47"/>
      <c r="BW406" s="47"/>
      <c r="BX406" s="194"/>
      <c r="BY406" s="194"/>
      <c r="BZ406" s="194"/>
      <c r="CA406" s="194"/>
      <c r="CB406" s="194"/>
      <c r="CC406" s="47"/>
      <c r="CD406" s="47"/>
      <c r="CE406" s="47"/>
      <c r="CF406" s="47"/>
      <c r="CG406" s="47">
        <v>2.5</v>
      </c>
      <c r="CH406" s="47"/>
      <c r="CI406" s="47"/>
      <c r="CJ406" s="47"/>
      <c r="CK406" s="224"/>
      <c r="CL406" s="194">
        <v>2.5</v>
      </c>
      <c r="CM406" s="47"/>
      <c r="CN406" s="47"/>
      <c r="CO406" s="47"/>
      <c r="CP406" s="47">
        <v>2.5</v>
      </c>
      <c r="CQ406" s="47"/>
      <c r="CR406" s="47">
        <v>2.5</v>
      </c>
      <c r="CS406" s="47"/>
      <c r="CT406" s="47"/>
      <c r="CU406" s="47"/>
      <c r="CV406" s="47">
        <v>2.5</v>
      </c>
      <c r="CW406" s="47"/>
      <c r="CX406" s="194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>
        <v>2.5</v>
      </c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198"/>
      <c r="DX406" s="47"/>
      <c r="DY406" s="194"/>
      <c r="DZ406" s="47"/>
      <c r="EA406" s="47"/>
      <c r="EB406" s="194"/>
      <c r="EC406" s="47"/>
      <c r="ED406" s="195"/>
      <c r="EE406" s="195"/>
      <c r="EF406" s="195"/>
      <c r="EG406" s="195"/>
      <c r="EH406" s="195">
        <v>57</v>
      </c>
      <c r="EI406" s="196">
        <f t="shared" si="21"/>
        <v>113.27040000000001</v>
      </c>
      <c r="EJ406" s="201">
        <f t="shared" si="22"/>
        <v>2.5237440000000002</v>
      </c>
      <c r="EK406" s="202">
        <v>2</v>
      </c>
      <c r="EL406" s="5"/>
      <c r="FA406" s="251">
        <f t="shared" si="20"/>
        <v>1.9872000000000001</v>
      </c>
    </row>
    <row r="407" spans="1:157" s="1" customFormat="1" ht="20.149999999999999" customHeight="1" x14ac:dyDescent="0.35">
      <c r="A407" s="47"/>
      <c r="B407" s="47" t="s">
        <v>1107</v>
      </c>
      <c r="C407" s="47" t="s">
        <v>1535</v>
      </c>
      <c r="D407" s="252" t="s">
        <v>56</v>
      </c>
      <c r="E407" s="2" t="s">
        <v>1311</v>
      </c>
      <c r="F407" s="2" t="s">
        <v>1536</v>
      </c>
      <c r="G407" s="375" t="s">
        <v>76</v>
      </c>
      <c r="H407" s="328">
        <f t="shared" si="24"/>
        <v>1.9872000000000001</v>
      </c>
      <c r="I407" s="47"/>
      <c r="J407" s="47"/>
      <c r="K407" s="47"/>
      <c r="L407" s="47"/>
      <c r="M407" s="47">
        <v>2.8</v>
      </c>
      <c r="N407" s="194"/>
      <c r="O407" s="194"/>
      <c r="P407" s="194"/>
      <c r="Q407" s="194"/>
      <c r="R407" s="47"/>
      <c r="S407" s="194">
        <v>2.5</v>
      </c>
      <c r="T407" s="47"/>
      <c r="U407" s="194"/>
      <c r="V407" s="47"/>
      <c r="W407" s="194"/>
      <c r="X407" s="47">
        <v>2.5</v>
      </c>
      <c r="Y407" s="194"/>
      <c r="Z407" s="194"/>
      <c r="AA407" s="47"/>
      <c r="AB407" s="47">
        <v>2.8</v>
      </c>
      <c r="AC407" s="47"/>
      <c r="AD407" s="47"/>
      <c r="AE407" s="194"/>
      <c r="AF407" s="194">
        <v>2.7</v>
      </c>
      <c r="AG407" s="194"/>
      <c r="AH407" s="5"/>
      <c r="AI407" s="47"/>
      <c r="AJ407" s="223"/>
      <c r="AK407" s="47"/>
      <c r="AL407" s="47"/>
      <c r="AM407" s="47"/>
      <c r="AN407" s="47"/>
      <c r="AO407" s="47"/>
      <c r="AP407" s="194"/>
      <c r="AQ407" s="47"/>
      <c r="AR407" s="47">
        <v>2.8</v>
      </c>
      <c r="AS407" s="47">
        <v>2.5</v>
      </c>
      <c r="AT407" s="194">
        <v>2.5</v>
      </c>
      <c r="AU407" s="194">
        <v>2.5</v>
      </c>
      <c r="AV407" s="194"/>
      <c r="AW407" s="194"/>
      <c r="AX407" s="194"/>
      <c r="AY407" s="194">
        <v>2.5</v>
      </c>
      <c r="AZ407" s="194"/>
      <c r="BA407" s="194"/>
      <c r="BB407" s="194"/>
      <c r="BC407" s="194"/>
      <c r="BD407" s="194"/>
      <c r="BE407" s="194"/>
      <c r="BF407" s="194"/>
      <c r="BG407" s="194"/>
      <c r="BH407" s="194"/>
      <c r="BI407" s="194"/>
      <c r="BJ407" s="194"/>
      <c r="BK407" s="194"/>
      <c r="BL407" s="194"/>
      <c r="BM407" s="194"/>
      <c r="BN407" s="194"/>
      <c r="BO407" s="194"/>
      <c r="BP407" s="194"/>
      <c r="BQ407" s="47"/>
      <c r="BR407" s="194"/>
      <c r="BS407" s="47">
        <v>2.5</v>
      </c>
      <c r="BT407" s="47"/>
      <c r="BU407" s="47"/>
      <c r="BV407" s="47"/>
      <c r="BW407" s="47"/>
      <c r="BX407" s="194"/>
      <c r="BY407" s="194"/>
      <c r="BZ407" s="194"/>
      <c r="CA407" s="194"/>
      <c r="CB407" s="194"/>
      <c r="CC407" s="47"/>
      <c r="CD407" s="47"/>
      <c r="CE407" s="47"/>
      <c r="CF407" s="47"/>
      <c r="CG407" s="47"/>
      <c r="CH407" s="47"/>
      <c r="CI407" s="47"/>
      <c r="CJ407" s="47"/>
      <c r="CK407" s="224"/>
      <c r="CL407" s="194">
        <v>2.5</v>
      </c>
      <c r="CM407" s="47"/>
      <c r="CN407" s="47"/>
      <c r="CO407" s="47"/>
      <c r="CP407" s="47">
        <v>2.5</v>
      </c>
      <c r="CQ407" s="47"/>
      <c r="CR407" s="47">
        <v>2.5</v>
      </c>
      <c r="CS407" s="47"/>
      <c r="CT407" s="47"/>
      <c r="CU407" s="47"/>
      <c r="CV407" s="47">
        <v>2.5</v>
      </c>
      <c r="CW407" s="47"/>
      <c r="CX407" s="194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>
        <v>2.5</v>
      </c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198"/>
      <c r="DX407" s="47"/>
      <c r="DY407" s="194"/>
      <c r="DZ407" s="47"/>
      <c r="EA407" s="47"/>
      <c r="EB407" s="194"/>
      <c r="EC407" s="47"/>
      <c r="ED407" s="195"/>
      <c r="EE407" s="195"/>
      <c r="EF407" s="195"/>
      <c r="EG407" s="195"/>
      <c r="EH407" s="195">
        <v>35</v>
      </c>
      <c r="EI407" s="196">
        <f t="shared" si="21"/>
        <v>69.552000000000007</v>
      </c>
      <c r="EJ407" s="201">
        <f t="shared" si="22"/>
        <v>2.5237440000000002</v>
      </c>
      <c r="EK407" s="202">
        <v>2</v>
      </c>
      <c r="EL407" s="5"/>
      <c r="FA407" s="251">
        <f t="shared" si="20"/>
        <v>1.9872000000000001</v>
      </c>
    </row>
    <row r="408" spans="1:157" s="1" customFormat="1" ht="20.149999999999999" customHeight="1" x14ac:dyDescent="0.35">
      <c r="A408" s="47"/>
      <c r="B408" s="47" t="s">
        <v>1108</v>
      </c>
      <c r="C408" s="47" t="s">
        <v>1535</v>
      </c>
      <c r="D408" s="252" t="s">
        <v>56</v>
      </c>
      <c r="E408" s="2" t="s">
        <v>388</v>
      </c>
      <c r="F408" s="2" t="s">
        <v>1536</v>
      </c>
      <c r="G408" s="375" t="s">
        <v>30</v>
      </c>
      <c r="H408" s="57">
        <f>48/12*1.08</f>
        <v>4.32</v>
      </c>
      <c r="I408" s="47"/>
      <c r="J408" s="47"/>
      <c r="K408" s="47"/>
      <c r="L408" s="47"/>
      <c r="M408" s="47">
        <v>5.5</v>
      </c>
      <c r="N408" s="194"/>
      <c r="O408" s="194"/>
      <c r="P408" s="194"/>
      <c r="Q408" s="194"/>
      <c r="R408" s="47"/>
      <c r="S408" s="194">
        <v>5.5</v>
      </c>
      <c r="T408" s="47"/>
      <c r="U408" s="194"/>
      <c r="V408" s="47"/>
      <c r="W408" s="194"/>
      <c r="X408" s="47">
        <v>5.5</v>
      </c>
      <c r="Y408" s="194"/>
      <c r="Z408" s="194"/>
      <c r="AA408" s="47"/>
      <c r="AB408" s="47">
        <v>5.5</v>
      </c>
      <c r="AC408" s="47"/>
      <c r="AD408" s="47"/>
      <c r="AE408" s="194"/>
      <c r="AF408" s="194">
        <v>5.5</v>
      </c>
      <c r="AG408" s="194">
        <v>5.5</v>
      </c>
      <c r="AH408" s="5"/>
      <c r="AI408" s="47"/>
      <c r="AJ408" s="223"/>
      <c r="AK408" s="47"/>
      <c r="AL408" s="47"/>
      <c r="AM408" s="47"/>
      <c r="AN408" s="47"/>
      <c r="AO408" s="47"/>
      <c r="AP408" s="194"/>
      <c r="AQ408" s="47"/>
      <c r="AR408" s="47">
        <v>5.5</v>
      </c>
      <c r="AS408" s="47">
        <v>5.5</v>
      </c>
      <c r="AT408" s="194">
        <v>5.5</v>
      </c>
      <c r="AU408" s="194">
        <v>5.5</v>
      </c>
      <c r="AV408" s="194"/>
      <c r="AW408" s="194"/>
      <c r="AX408" s="194"/>
      <c r="AY408" s="194">
        <v>5.5</v>
      </c>
      <c r="AZ408" s="194"/>
      <c r="BA408" s="194"/>
      <c r="BB408" s="194"/>
      <c r="BC408" s="194"/>
      <c r="BD408" s="194"/>
      <c r="BE408" s="194"/>
      <c r="BF408" s="194"/>
      <c r="BG408" s="194"/>
      <c r="BH408" s="194"/>
      <c r="BI408" s="194"/>
      <c r="BJ408" s="194"/>
      <c r="BK408" s="194"/>
      <c r="BL408" s="194"/>
      <c r="BM408" s="194"/>
      <c r="BN408" s="194"/>
      <c r="BO408" s="194"/>
      <c r="BP408" s="194"/>
      <c r="BQ408" s="47">
        <v>5.5</v>
      </c>
      <c r="BR408" s="194"/>
      <c r="BS408" s="47">
        <v>5.5</v>
      </c>
      <c r="BT408" s="47"/>
      <c r="BU408" s="47"/>
      <c r="BV408" s="47"/>
      <c r="BW408" s="47"/>
      <c r="BX408" s="194"/>
      <c r="BY408" s="194"/>
      <c r="BZ408" s="194"/>
      <c r="CA408" s="194"/>
      <c r="CB408" s="194"/>
      <c r="CC408" s="47"/>
      <c r="CD408" s="47"/>
      <c r="CE408" s="47"/>
      <c r="CF408" s="47"/>
      <c r="CG408" s="47">
        <v>5.5</v>
      </c>
      <c r="CH408" s="47"/>
      <c r="CI408" s="47">
        <v>5.5</v>
      </c>
      <c r="CJ408" s="47"/>
      <c r="CK408" s="224"/>
      <c r="CL408" s="194"/>
      <c r="CM408" s="47"/>
      <c r="CN408" s="47"/>
      <c r="CO408" s="47">
        <v>5.5</v>
      </c>
      <c r="CP408" s="47">
        <v>5.5</v>
      </c>
      <c r="CQ408" s="47"/>
      <c r="CR408" s="47">
        <v>5.5</v>
      </c>
      <c r="CS408" s="47"/>
      <c r="CT408" s="47"/>
      <c r="CU408" s="47">
        <v>5.5</v>
      </c>
      <c r="CV408" s="47"/>
      <c r="CW408" s="47"/>
      <c r="CX408" s="194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>
        <v>5.5</v>
      </c>
      <c r="DK408" s="47">
        <v>5.5</v>
      </c>
      <c r="DL408" s="47"/>
      <c r="DM408" s="47"/>
      <c r="DN408" s="47"/>
      <c r="DO408" s="47"/>
      <c r="DP408" s="47"/>
      <c r="DQ408" s="47"/>
      <c r="DR408" s="47"/>
      <c r="DS408" s="47"/>
      <c r="DT408" s="47">
        <v>5.5</v>
      </c>
      <c r="DU408" s="47"/>
      <c r="DV408" s="47"/>
      <c r="DW408" s="198"/>
      <c r="DX408" s="47"/>
      <c r="DY408" s="194"/>
      <c r="DZ408" s="47"/>
      <c r="EA408" s="47"/>
      <c r="EB408" s="194"/>
      <c r="EC408" s="47"/>
      <c r="ED408" s="195"/>
      <c r="EE408" s="195"/>
      <c r="EF408" s="195"/>
      <c r="EG408" s="195"/>
      <c r="EH408" s="195">
        <v>56</v>
      </c>
      <c r="EI408" s="196">
        <f t="shared" si="21"/>
        <v>241.92000000000002</v>
      </c>
      <c r="EJ408" s="201">
        <f t="shared" si="22"/>
        <v>5.4864000000000006</v>
      </c>
      <c r="EK408" s="202">
        <v>3</v>
      </c>
      <c r="EL408" s="5"/>
      <c r="FA408" s="251">
        <f t="shared" si="20"/>
        <v>4.32</v>
      </c>
    </row>
    <row r="409" spans="1:157" s="1" customFormat="1" ht="20.149999999999999" customHeight="1" x14ac:dyDescent="0.35">
      <c r="A409" s="47"/>
      <c r="B409" s="373" t="s">
        <v>1109</v>
      </c>
      <c r="C409" s="373" t="s">
        <v>1537</v>
      </c>
      <c r="D409" s="374" t="s">
        <v>56</v>
      </c>
      <c r="E409" s="374" t="s">
        <v>1538</v>
      </c>
      <c r="F409" s="374" t="s">
        <v>325</v>
      </c>
      <c r="G409" s="2" t="s">
        <v>76</v>
      </c>
      <c r="H409" s="57">
        <v>11.2</v>
      </c>
      <c r="I409" s="47"/>
      <c r="J409" s="47"/>
      <c r="K409" s="47"/>
      <c r="L409" s="47"/>
      <c r="M409" s="47"/>
      <c r="N409" s="194"/>
      <c r="O409" s="194"/>
      <c r="P409" s="194"/>
      <c r="Q409" s="194"/>
      <c r="R409" s="47"/>
      <c r="S409" s="194"/>
      <c r="T409" s="47"/>
      <c r="U409" s="194"/>
      <c r="V409" s="47"/>
      <c r="W409" s="194"/>
      <c r="X409" s="47"/>
      <c r="Y409" s="194"/>
      <c r="Z409" s="194"/>
      <c r="AA409" s="47"/>
      <c r="AB409" s="47"/>
      <c r="AC409" s="47"/>
      <c r="AD409" s="47"/>
      <c r="AE409" s="194"/>
      <c r="AF409" s="194"/>
      <c r="AG409" s="194"/>
      <c r="AH409" s="5"/>
      <c r="AI409" s="47"/>
      <c r="AJ409" s="223"/>
      <c r="AK409" s="47"/>
      <c r="AL409" s="47"/>
      <c r="AM409" s="47"/>
      <c r="AN409" s="47"/>
      <c r="AO409" s="47"/>
      <c r="AP409" s="194"/>
      <c r="AQ409" s="47"/>
      <c r="AR409" s="47"/>
      <c r="AS409" s="47"/>
      <c r="AT409" s="194"/>
      <c r="AU409" s="194"/>
      <c r="AV409" s="194"/>
      <c r="AW409" s="194"/>
      <c r="AX409" s="194"/>
      <c r="AY409" s="194"/>
      <c r="AZ409" s="194"/>
      <c r="BA409" s="194"/>
      <c r="BB409" s="194"/>
      <c r="BC409" s="194"/>
      <c r="BD409" s="194"/>
      <c r="BE409" s="194"/>
      <c r="BF409" s="194"/>
      <c r="BG409" s="194"/>
      <c r="BH409" s="194"/>
      <c r="BI409" s="194"/>
      <c r="BJ409" s="194"/>
      <c r="BK409" s="194"/>
      <c r="BL409" s="194"/>
      <c r="BM409" s="194">
        <v>20</v>
      </c>
      <c r="BN409" s="194"/>
      <c r="BO409" s="194"/>
      <c r="BP409" s="194"/>
      <c r="BQ409" s="47"/>
      <c r="BR409" s="194"/>
      <c r="BS409" s="47"/>
      <c r="BT409" s="47"/>
      <c r="BU409" s="47"/>
      <c r="BV409" s="47"/>
      <c r="BW409" s="47"/>
      <c r="BX409" s="194"/>
      <c r="BY409" s="194"/>
      <c r="BZ409" s="194"/>
      <c r="CA409" s="194"/>
      <c r="CB409" s="194"/>
      <c r="CC409" s="47"/>
      <c r="CD409" s="47"/>
      <c r="CE409" s="47"/>
      <c r="CF409" s="47"/>
      <c r="CG409" s="47"/>
      <c r="CH409" s="47"/>
      <c r="CI409" s="47"/>
      <c r="CJ409" s="47"/>
      <c r="CK409" s="224"/>
      <c r="CL409" s="194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194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198"/>
      <c r="DX409" s="47"/>
      <c r="DY409" s="194"/>
      <c r="DZ409" s="47"/>
      <c r="EA409" s="47"/>
      <c r="EB409" s="194"/>
      <c r="EC409" s="47"/>
      <c r="ED409" s="195"/>
      <c r="EE409" s="195"/>
      <c r="EF409" s="195"/>
      <c r="EG409" s="195"/>
      <c r="EH409" s="195">
        <v>2</v>
      </c>
      <c r="EI409" s="196">
        <f t="shared" si="21"/>
        <v>22.4</v>
      </c>
      <c r="EJ409" s="201">
        <f t="shared" si="22"/>
        <v>14.223999999999998</v>
      </c>
      <c r="EK409" s="202">
        <f t="shared" si="23"/>
        <v>20</v>
      </c>
      <c r="EL409" s="5"/>
      <c r="FA409" s="251">
        <f t="shared" si="20"/>
        <v>11.2</v>
      </c>
    </row>
    <row r="410" spans="1:157" s="1" customFormat="1" ht="20.149999999999999" customHeight="1" x14ac:dyDescent="0.35">
      <c r="A410" s="47"/>
      <c r="B410" s="47" t="s">
        <v>1110</v>
      </c>
      <c r="C410" s="373" t="s">
        <v>1537</v>
      </c>
      <c r="D410" s="325" t="s">
        <v>56</v>
      </c>
      <c r="E410" s="2" t="s">
        <v>1310</v>
      </c>
      <c r="F410" s="2" t="s">
        <v>325</v>
      </c>
      <c r="G410" s="2" t="s">
        <v>76</v>
      </c>
      <c r="H410" s="57"/>
      <c r="I410" s="47"/>
      <c r="J410" s="47"/>
      <c r="K410" s="47"/>
      <c r="L410" s="47"/>
      <c r="M410" s="47"/>
      <c r="N410" s="194"/>
      <c r="O410" s="194"/>
      <c r="P410" s="194"/>
      <c r="Q410" s="194"/>
      <c r="R410" s="47"/>
      <c r="S410" s="194"/>
      <c r="T410" s="47"/>
      <c r="U410" s="194"/>
      <c r="V410" s="47"/>
      <c r="W410" s="194"/>
      <c r="X410" s="47"/>
      <c r="Y410" s="194"/>
      <c r="Z410" s="194"/>
      <c r="AA410" s="47"/>
      <c r="AB410" s="47"/>
      <c r="AC410" s="47"/>
      <c r="AD410" s="47"/>
      <c r="AE410" s="194"/>
      <c r="AF410" s="194"/>
      <c r="AG410" s="194"/>
      <c r="AH410" s="5"/>
      <c r="AI410" s="47"/>
      <c r="AJ410" s="223"/>
      <c r="AK410" s="47"/>
      <c r="AL410" s="47"/>
      <c r="AM410" s="47"/>
      <c r="AN410" s="47"/>
      <c r="AO410" s="47"/>
      <c r="AP410" s="194"/>
      <c r="AQ410" s="47"/>
      <c r="AR410" s="47"/>
      <c r="AS410" s="47"/>
      <c r="AT410" s="194"/>
      <c r="AU410" s="194"/>
      <c r="AV410" s="194"/>
      <c r="AW410" s="194"/>
      <c r="AX410" s="194"/>
      <c r="AY410" s="194"/>
      <c r="AZ410" s="194"/>
      <c r="BA410" s="194"/>
      <c r="BB410" s="194"/>
      <c r="BC410" s="194"/>
      <c r="BD410" s="194"/>
      <c r="BE410" s="194"/>
      <c r="BF410" s="194"/>
      <c r="BG410" s="194"/>
      <c r="BH410" s="194"/>
      <c r="BI410" s="194"/>
      <c r="BJ410" s="194"/>
      <c r="BK410" s="194"/>
      <c r="BL410" s="194"/>
      <c r="BM410" s="194">
        <v>20</v>
      </c>
      <c r="BN410" s="194"/>
      <c r="BO410" s="194"/>
      <c r="BP410" s="194"/>
      <c r="BQ410" s="47"/>
      <c r="BR410" s="194"/>
      <c r="BS410" s="47"/>
      <c r="BT410" s="47"/>
      <c r="BU410" s="47"/>
      <c r="BV410" s="47"/>
      <c r="BW410" s="47"/>
      <c r="BX410" s="194"/>
      <c r="BY410" s="194"/>
      <c r="BZ410" s="194"/>
      <c r="CA410" s="194"/>
      <c r="CB410" s="194"/>
      <c r="CC410" s="47"/>
      <c r="CD410" s="47"/>
      <c r="CE410" s="47"/>
      <c r="CF410" s="47"/>
      <c r="CG410" s="47"/>
      <c r="CH410" s="47"/>
      <c r="CI410" s="47"/>
      <c r="CJ410" s="47"/>
      <c r="CK410" s="224"/>
      <c r="CL410" s="194"/>
      <c r="CM410" s="47"/>
      <c r="CN410" s="47"/>
      <c r="CO410" s="47"/>
      <c r="CP410" s="47"/>
      <c r="CQ410" s="47"/>
      <c r="CR410" s="47"/>
      <c r="CS410" s="47">
        <v>20</v>
      </c>
      <c r="CT410" s="47"/>
      <c r="CU410" s="47"/>
      <c r="CV410" s="47"/>
      <c r="CW410" s="47"/>
      <c r="CX410" s="194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198"/>
      <c r="DX410" s="47"/>
      <c r="DY410" s="194"/>
      <c r="DZ410" s="47"/>
      <c r="EA410" s="47"/>
      <c r="EB410" s="194"/>
      <c r="EC410" s="47"/>
      <c r="ED410" s="195"/>
      <c r="EE410" s="195"/>
      <c r="EF410" s="195"/>
      <c r="EG410" s="195"/>
      <c r="EH410" s="195"/>
      <c r="EI410" s="196">
        <f t="shared" si="21"/>
        <v>0</v>
      </c>
      <c r="EJ410" s="201">
        <f t="shared" si="22"/>
        <v>0</v>
      </c>
      <c r="EK410" s="202">
        <f t="shared" si="23"/>
        <v>20</v>
      </c>
      <c r="EL410" s="5"/>
      <c r="FA410" s="251">
        <f t="shared" si="20"/>
        <v>0</v>
      </c>
    </row>
    <row r="411" spans="1:157" s="1" customFormat="1" ht="20.149999999999999" customHeight="1" x14ac:dyDescent="0.35">
      <c r="A411" s="47"/>
      <c r="B411" s="47" t="s">
        <v>1111</v>
      </c>
      <c r="C411" s="373" t="s">
        <v>1537</v>
      </c>
      <c r="D411" s="325"/>
      <c r="E411" s="2" t="s">
        <v>1311</v>
      </c>
      <c r="F411" s="2" t="s">
        <v>325</v>
      </c>
      <c r="G411" s="2" t="s">
        <v>76</v>
      </c>
      <c r="H411" s="57"/>
      <c r="I411" s="47"/>
      <c r="J411" s="47"/>
      <c r="K411" s="47"/>
      <c r="L411" s="47"/>
      <c r="M411" s="47"/>
      <c r="N411" s="194"/>
      <c r="O411" s="194"/>
      <c r="P411" s="194"/>
      <c r="Q411" s="194"/>
      <c r="R411" s="47"/>
      <c r="S411" s="194"/>
      <c r="T411" s="47"/>
      <c r="U411" s="194"/>
      <c r="V411" s="47"/>
      <c r="W411" s="194"/>
      <c r="X411" s="47"/>
      <c r="Y411" s="194"/>
      <c r="Z411" s="194"/>
      <c r="AA411" s="47"/>
      <c r="AB411" s="47"/>
      <c r="AC411" s="47"/>
      <c r="AD411" s="47"/>
      <c r="AE411" s="194"/>
      <c r="AF411" s="194"/>
      <c r="AG411" s="194"/>
      <c r="AH411" s="5"/>
      <c r="AI411" s="47"/>
      <c r="AJ411" s="223"/>
      <c r="AK411" s="47"/>
      <c r="AL411" s="47"/>
      <c r="AM411" s="47"/>
      <c r="AN411" s="47"/>
      <c r="AO411" s="47"/>
      <c r="AP411" s="194"/>
      <c r="AQ411" s="47"/>
      <c r="AR411" s="47"/>
      <c r="AS411" s="47"/>
      <c r="AT411" s="194"/>
      <c r="AU411" s="194"/>
      <c r="AV411" s="194"/>
      <c r="AW411" s="194"/>
      <c r="AX411" s="194"/>
      <c r="AY411" s="194"/>
      <c r="AZ411" s="194"/>
      <c r="BA411" s="194"/>
      <c r="BB411" s="194"/>
      <c r="BC411" s="194"/>
      <c r="BD411" s="194"/>
      <c r="BE411" s="194"/>
      <c r="BF411" s="194"/>
      <c r="BG411" s="194"/>
      <c r="BH411" s="194"/>
      <c r="BI411" s="194"/>
      <c r="BJ411" s="194"/>
      <c r="BK411" s="194"/>
      <c r="BL411" s="194"/>
      <c r="BM411" s="194"/>
      <c r="BN411" s="194"/>
      <c r="BO411" s="194"/>
      <c r="BP411" s="194"/>
      <c r="BQ411" s="47"/>
      <c r="BR411" s="194"/>
      <c r="BS411" s="47"/>
      <c r="BT411" s="47"/>
      <c r="BU411" s="47"/>
      <c r="BV411" s="47"/>
      <c r="BW411" s="47"/>
      <c r="BX411" s="194"/>
      <c r="BY411" s="194"/>
      <c r="BZ411" s="194"/>
      <c r="CA411" s="194"/>
      <c r="CB411" s="194"/>
      <c r="CC411" s="47"/>
      <c r="CD411" s="47"/>
      <c r="CE411" s="47"/>
      <c r="CF411" s="47"/>
      <c r="CG411" s="47"/>
      <c r="CH411" s="47"/>
      <c r="CI411" s="47"/>
      <c r="CJ411" s="47"/>
      <c r="CK411" s="224"/>
      <c r="CL411" s="194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194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198"/>
      <c r="DX411" s="47"/>
      <c r="DY411" s="194"/>
      <c r="DZ411" s="47"/>
      <c r="EA411" s="47"/>
      <c r="EB411" s="194"/>
      <c r="EC411" s="47"/>
      <c r="ED411" s="195"/>
      <c r="EE411" s="195"/>
      <c r="EF411" s="195"/>
      <c r="EG411" s="195"/>
      <c r="EH411" s="195">
        <v>6</v>
      </c>
      <c r="EI411" s="196">
        <f t="shared" si="21"/>
        <v>0</v>
      </c>
      <c r="EJ411" s="201">
        <f t="shared" si="22"/>
        <v>0</v>
      </c>
      <c r="EK411" s="202">
        <v>0</v>
      </c>
      <c r="EL411" s="5"/>
      <c r="FA411" s="251">
        <f t="shared" si="20"/>
        <v>0</v>
      </c>
    </row>
    <row r="412" spans="1:157" s="89" customFormat="1" ht="20.149999999999999" customHeight="1" x14ac:dyDescent="0.35">
      <c r="A412" s="47"/>
      <c r="B412" s="47" t="s">
        <v>1112</v>
      </c>
      <c r="C412" s="47" t="s">
        <v>1539</v>
      </c>
      <c r="D412" s="47"/>
      <c r="E412" s="2" t="s">
        <v>388</v>
      </c>
      <c r="F412" s="2" t="s">
        <v>1540</v>
      </c>
      <c r="G412" s="2" t="s">
        <v>76</v>
      </c>
      <c r="H412" s="328">
        <f>90/4*1.08</f>
        <v>24.3</v>
      </c>
      <c r="I412" s="47"/>
      <c r="J412" s="47"/>
      <c r="K412" s="47"/>
      <c r="L412" s="47"/>
      <c r="M412" s="47"/>
      <c r="N412" s="194"/>
      <c r="O412" s="194"/>
      <c r="P412" s="194"/>
      <c r="Q412" s="194">
        <v>30</v>
      </c>
      <c r="R412" s="47"/>
      <c r="S412" s="194"/>
      <c r="T412" s="47"/>
      <c r="U412" s="194"/>
      <c r="V412" s="47"/>
      <c r="W412" s="194"/>
      <c r="X412" s="47"/>
      <c r="Y412" s="194"/>
      <c r="Z412" s="194"/>
      <c r="AA412" s="47"/>
      <c r="AB412" s="47"/>
      <c r="AC412" s="47"/>
      <c r="AD412" s="47"/>
      <c r="AE412" s="194"/>
      <c r="AF412" s="194"/>
      <c r="AG412" s="194">
        <v>32</v>
      </c>
      <c r="AH412" s="355"/>
      <c r="AI412" s="47"/>
      <c r="AJ412" s="223"/>
      <c r="AK412" s="47"/>
      <c r="AL412" s="47"/>
      <c r="AM412" s="47"/>
      <c r="AN412" s="47"/>
      <c r="AO412" s="47"/>
      <c r="AP412" s="194"/>
      <c r="AQ412" s="47"/>
      <c r="AR412" s="47"/>
      <c r="AS412" s="47"/>
      <c r="AT412" s="194"/>
      <c r="AU412" s="194"/>
      <c r="AV412" s="194"/>
      <c r="AW412" s="194"/>
      <c r="AX412" s="194"/>
      <c r="AY412" s="194"/>
      <c r="AZ412" s="194"/>
      <c r="BA412" s="194"/>
      <c r="BB412" s="194"/>
      <c r="BC412" s="194"/>
      <c r="BD412" s="194"/>
      <c r="BE412" s="194"/>
      <c r="BF412" s="194"/>
      <c r="BG412" s="194">
        <v>29</v>
      </c>
      <c r="BH412" s="194"/>
      <c r="BI412" s="194"/>
      <c r="BJ412" s="194"/>
      <c r="BK412" s="194"/>
      <c r="BL412" s="194"/>
      <c r="BM412" s="194"/>
      <c r="BN412" s="194"/>
      <c r="BO412" s="194"/>
      <c r="BP412" s="194"/>
      <c r="BQ412" s="47"/>
      <c r="BR412" s="194"/>
      <c r="BS412" s="47"/>
      <c r="BT412" s="47"/>
      <c r="BU412" s="47"/>
      <c r="BV412" s="47"/>
      <c r="BW412" s="47"/>
      <c r="BX412" s="194"/>
      <c r="BY412" s="194"/>
      <c r="BZ412" s="194"/>
      <c r="CA412" s="194"/>
      <c r="CB412" s="194"/>
      <c r="CC412" s="47"/>
      <c r="CD412" s="47"/>
      <c r="CE412" s="47"/>
      <c r="CF412" s="47"/>
      <c r="CG412" s="47">
        <v>29</v>
      </c>
      <c r="CH412" s="47"/>
      <c r="CI412" s="47">
        <v>29</v>
      </c>
      <c r="CJ412" s="47"/>
      <c r="CK412" s="224"/>
      <c r="CL412" s="194"/>
      <c r="CM412" s="47"/>
      <c r="CN412" s="47"/>
      <c r="CO412" s="47">
        <v>29</v>
      </c>
      <c r="CP412" s="47">
        <v>29</v>
      </c>
      <c r="CQ412" s="47"/>
      <c r="CR412" s="47"/>
      <c r="CS412" s="47"/>
      <c r="CT412" s="47"/>
      <c r="CU412" s="47"/>
      <c r="CV412" s="47"/>
      <c r="CW412" s="47"/>
      <c r="CX412" s="194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>
        <v>30</v>
      </c>
      <c r="DU412" s="47"/>
      <c r="DV412" s="47"/>
      <c r="DW412" s="198"/>
      <c r="DX412" s="47"/>
      <c r="DY412" s="194"/>
      <c r="DZ412" s="47"/>
      <c r="EA412" s="47"/>
      <c r="EB412" s="194"/>
      <c r="EC412" s="47"/>
      <c r="ED412" s="195"/>
      <c r="EE412" s="195"/>
      <c r="EF412" s="195"/>
      <c r="EG412" s="195"/>
      <c r="EH412" s="195">
        <v>1</v>
      </c>
      <c r="EI412" s="196">
        <f t="shared" si="21"/>
        <v>24.3</v>
      </c>
      <c r="EJ412" s="201">
        <f t="shared" si="22"/>
        <v>30.861000000000001</v>
      </c>
      <c r="EK412" s="202">
        <f t="shared" si="23"/>
        <v>29.625</v>
      </c>
      <c r="EL412" s="355"/>
      <c r="FA412" s="251">
        <f t="shared" si="20"/>
        <v>24.3</v>
      </c>
    </row>
    <row r="413" spans="1:157" s="89" customFormat="1" ht="20.149999999999999" customHeight="1" x14ac:dyDescent="0.35">
      <c r="A413" s="2"/>
      <c r="B413" s="47" t="s">
        <v>1113</v>
      </c>
      <c r="C413" s="47" t="s">
        <v>1431</v>
      </c>
      <c r="D413" s="2" t="s">
        <v>56</v>
      </c>
      <c r="E413" s="2" t="s">
        <v>84</v>
      </c>
      <c r="F413" s="2" t="s">
        <v>319</v>
      </c>
      <c r="G413" s="2" t="s">
        <v>76</v>
      </c>
      <c r="H413" s="328">
        <v>12.08</v>
      </c>
      <c r="I413" s="47"/>
      <c r="J413" s="47"/>
      <c r="K413" s="47"/>
      <c r="L413" s="47"/>
      <c r="M413" s="47"/>
      <c r="N413" s="194"/>
      <c r="O413" s="194"/>
      <c r="P413" s="194"/>
      <c r="Q413" s="194"/>
      <c r="R413" s="47"/>
      <c r="S413" s="194"/>
      <c r="T413" s="47"/>
      <c r="U413" s="194"/>
      <c r="V413" s="47"/>
      <c r="W413" s="194"/>
      <c r="X413" s="47">
        <v>18</v>
      </c>
      <c r="Y413" s="194"/>
      <c r="Z413" s="194"/>
      <c r="AA413" s="47"/>
      <c r="AB413" s="47"/>
      <c r="AC413" s="47"/>
      <c r="AD413" s="47"/>
      <c r="AE413" s="194"/>
      <c r="AF413" s="194">
        <v>18</v>
      </c>
      <c r="AG413" s="194"/>
      <c r="AH413" s="355"/>
      <c r="AI413" s="47"/>
      <c r="AJ413" s="223"/>
      <c r="AK413" s="47"/>
      <c r="AL413" s="47"/>
      <c r="AM413" s="47"/>
      <c r="AN413" s="47"/>
      <c r="AO413" s="47"/>
      <c r="AP413" s="194"/>
      <c r="AQ413" s="47">
        <v>18</v>
      </c>
      <c r="AR413" s="47"/>
      <c r="AS413" s="47"/>
      <c r="AT413" s="194"/>
      <c r="AU413" s="194"/>
      <c r="AV413" s="194"/>
      <c r="AW413" s="194"/>
      <c r="AX413" s="194"/>
      <c r="AY413" s="194"/>
      <c r="AZ413" s="194"/>
      <c r="BA413" s="194"/>
      <c r="BB413" s="194"/>
      <c r="BC413" s="194"/>
      <c r="BD413" s="194"/>
      <c r="BE413" s="194"/>
      <c r="BF413" s="194"/>
      <c r="BG413" s="194"/>
      <c r="BH413" s="194"/>
      <c r="BI413" s="194"/>
      <c r="BJ413" s="194"/>
      <c r="BK413" s="194"/>
      <c r="BL413" s="194">
        <v>18</v>
      </c>
      <c r="BM413" s="194"/>
      <c r="BN413" s="194"/>
      <c r="BO413" s="194"/>
      <c r="BP413" s="194"/>
      <c r="BQ413" s="47"/>
      <c r="BR413" s="194"/>
      <c r="BS413" s="47">
        <v>18</v>
      </c>
      <c r="BT413" s="47"/>
      <c r="BU413" s="47"/>
      <c r="BV413" s="47"/>
      <c r="BW413" s="47"/>
      <c r="BX413" s="194"/>
      <c r="BY413" s="194"/>
      <c r="BZ413" s="194"/>
      <c r="CA413" s="194"/>
      <c r="CB413" s="194"/>
      <c r="CC413" s="47"/>
      <c r="CD413" s="47"/>
      <c r="CE413" s="47"/>
      <c r="CF413" s="47"/>
      <c r="CG413" s="47"/>
      <c r="CH413" s="47"/>
      <c r="CI413" s="47"/>
      <c r="CJ413" s="47"/>
      <c r="CK413" s="224"/>
      <c r="CL413" s="194">
        <v>18</v>
      </c>
      <c r="CM413" s="47"/>
      <c r="CN413" s="47"/>
      <c r="CO413" s="47"/>
      <c r="CP413" s="47">
        <v>18</v>
      </c>
      <c r="CQ413" s="47"/>
      <c r="CR413" s="47"/>
      <c r="CS413" s="47">
        <v>18</v>
      </c>
      <c r="CT413" s="47"/>
      <c r="CU413" s="47"/>
      <c r="CV413" s="47"/>
      <c r="CW413" s="47"/>
      <c r="CX413" s="194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198"/>
      <c r="DX413" s="47"/>
      <c r="DY413" s="194"/>
      <c r="DZ413" s="47"/>
      <c r="EA413" s="47"/>
      <c r="EB413" s="194"/>
      <c r="EC413" s="47"/>
      <c r="ED413" s="195"/>
      <c r="EE413" s="195"/>
      <c r="EF413" s="195"/>
      <c r="EG413" s="195"/>
      <c r="EH413" s="195">
        <v>3</v>
      </c>
      <c r="EI413" s="196">
        <f t="shared" si="21"/>
        <v>36.24</v>
      </c>
      <c r="EJ413" s="201">
        <f t="shared" si="22"/>
        <v>15.3416</v>
      </c>
      <c r="EK413" s="202">
        <v>13</v>
      </c>
      <c r="EL413" s="355"/>
      <c r="FA413" s="251">
        <f t="shared" si="20"/>
        <v>12.08</v>
      </c>
    </row>
    <row r="414" spans="1:157" s="89" customFormat="1" ht="20.149999999999999" customHeight="1" x14ac:dyDescent="0.35">
      <c r="A414" s="2"/>
      <c r="B414" s="47" t="s">
        <v>1114</v>
      </c>
      <c r="C414" s="47" t="s">
        <v>1431</v>
      </c>
      <c r="D414" s="47"/>
      <c r="E414" s="2" t="s">
        <v>80</v>
      </c>
      <c r="F414" s="2" t="s">
        <v>319</v>
      </c>
      <c r="G414" s="2" t="s">
        <v>76</v>
      </c>
      <c r="H414" s="57">
        <v>16.100000000000001</v>
      </c>
      <c r="I414" s="47"/>
      <c r="J414" s="47"/>
      <c r="K414" s="47"/>
      <c r="L414" s="47"/>
      <c r="M414" s="47"/>
      <c r="N414" s="194"/>
      <c r="O414" s="194"/>
      <c r="P414" s="194"/>
      <c r="Q414" s="194"/>
      <c r="R414" s="47"/>
      <c r="S414" s="194"/>
      <c r="T414" s="47"/>
      <c r="U414" s="194"/>
      <c r="V414" s="47"/>
      <c r="W414" s="194"/>
      <c r="X414" s="47"/>
      <c r="Y414" s="194"/>
      <c r="Z414" s="194"/>
      <c r="AA414" s="47"/>
      <c r="AB414" s="47">
        <v>22</v>
      </c>
      <c r="AC414" s="47"/>
      <c r="AD414" s="47"/>
      <c r="AE414" s="194"/>
      <c r="AF414" s="194">
        <v>22</v>
      </c>
      <c r="AG414" s="194"/>
      <c r="AH414" s="355"/>
      <c r="AI414" s="47"/>
      <c r="AJ414" s="223"/>
      <c r="AK414" s="47"/>
      <c r="AL414" s="47"/>
      <c r="AM414" s="47"/>
      <c r="AN414" s="47"/>
      <c r="AO414" s="47"/>
      <c r="AP414" s="194"/>
      <c r="AQ414" s="47"/>
      <c r="AR414" s="47"/>
      <c r="AS414" s="47"/>
      <c r="AT414" s="194"/>
      <c r="AU414" s="194"/>
      <c r="AV414" s="194"/>
      <c r="AW414" s="194"/>
      <c r="AX414" s="194"/>
      <c r="AY414" s="194"/>
      <c r="AZ414" s="194"/>
      <c r="BA414" s="194"/>
      <c r="BB414" s="194"/>
      <c r="BC414" s="194"/>
      <c r="BD414" s="194"/>
      <c r="BE414" s="194"/>
      <c r="BF414" s="194"/>
      <c r="BG414" s="194"/>
      <c r="BH414" s="194"/>
      <c r="BI414" s="194"/>
      <c r="BJ414" s="194"/>
      <c r="BK414" s="194"/>
      <c r="BL414" s="194"/>
      <c r="BM414" s="194"/>
      <c r="BN414" s="194"/>
      <c r="BO414" s="194"/>
      <c r="BP414" s="194"/>
      <c r="BQ414" s="47"/>
      <c r="BR414" s="194"/>
      <c r="BS414" s="47"/>
      <c r="BT414" s="47"/>
      <c r="BU414" s="47"/>
      <c r="BV414" s="47"/>
      <c r="BW414" s="47"/>
      <c r="BX414" s="194"/>
      <c r="BY414" s="194"/>
      <c r="BZ414" s="194"/>
      <c r="CA414" s="194"/>
      <c r="CB414" s="194"/>
      <c r="CC414" s="47"/>
      <c r="CD414" s="47"/>
      <c r="CE414" s="47"/>
      <c r="CF414" s="47"/>
      <c r="CG414" s="47"/>
      <c r="CH414" s="47"/>
      <c r="CI414" s="47"/>
      <c r="CJ414" s="47"/>
      <c r="CK414" s="224"/>
      <c r="CL414" s="194">
        <v>22</v>
      </c>
      <c r="CM414" s="47"/>
      <c r="CN414" s="47"/>
      <c r="CO414" s="47"/>
      <c r="CP414" s="47">
        <v>22</v>
      </c>
      <c r="CQ414" s="47"/>
      <c r="CR414" s="47"/>
      <c r="CS414" s="47"/>
      <c r="CT414" s="47"/>
      <c r="CU414" s="47"/>
      <c r="CV414" s="47"/>
      <c r="CW414" s="47"/>
      <c r="CX414" s="194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198"/>
      <c r="DX414" s="47"/>
      <c r="DY414" s="194"/>
      <c r="DZ414" s="47"/>
      <c r="EA414" s="47"/>
      <c r="EB414" s="194"/>
      <c r="EC414" s="47"/>
      <c r="ED414" s="195"/>
      <c r="EE414" s="195"/>
      <c r="EF414" s="195"/>
      <c r="EG414" s="195"/>
      <c r="EH414" s="195">
        <v>5</v>
      </c>
      <c r="EI414" s="196">
        <f t="shared" si="21"/>
        <v>80.5</v>
      </c>
      <c r="EJ414" s="201">
        <f t="shared" si="22"/>
        <v>20.447000000000003</v>
      </c>
      <c r="EK414" s="202">
        <f t="shared" si="23"/>
        <v>22</v>
      </c>
      <c r="EL414" s="355"/>
      <c r="FA414" s="251">
        <f t="shared" si="20"/>
        <v>16.100000000000001</v>
      </c>
    </row>
    <row r="415" spans="1:157" s="89" customFormat="1" ht="20.149999999999999" customHeight="1" x14ac:dyDescent="0.35">
      <c r="A415" s="2"/>
      <c r="B415" s="47" t="s">
        <v>1115</v>
      </c>
      <c r="C415" s="47" t="s">
        <v>1431</v>
      </c>
      <c r="D415" s="47"/>
      <c r="E415" s="2" t="s">
        <v>328</v>
      </c>
      <c r="F415" s="2" t="s">
        <v>319</v>
      </c>
      <c r="G415" s="2" t="s">
        <v>76</v>
      </c>
      <c r="H415" s="328">
        <v>17.25</v>
      </c>
      <c r="I415" s="47"/>
      <c r="J415" s="47"/>
      <c r="K415" s="47"/>
      <c r="L415" s="47"/>
      <c r="M415" s="47"/>
      <c r="N415" s="194"/>
      <c r="O415" s="194"/>
      <c r="P415" s="194"/>
      <c r="Q415" s="194"/>
      <c r="R415" s="47"/>
      <c r="S415" s="194"/>
      <c r="T415" s="47"/>
      <c r="U415" s="194"/>
      <c r="V415" s="47"/>
      <c r="W415" s="194"/>
      <c r="X415" s="47"/>
      <c r="Y415" s="194"/>
      <c r="Z415" s="194"/>
      <c r="AA415" s="47"/>
      <c r="AB415" s="47"/>
      <c r="AC415" s="47"/>
      <c r="AD415" s="47"/>
      <c r="AE415" s="194"/>
      <c r="AF415" s="194"/>
      <c r="AG415" s="194"/>
      <c r="AH415" s="355"/>
      <c r="AI415" s="47"/>
      <c r="AJ415" s="223"/>
      <c r="AK415" s="47"/>
      <c r="AL415" s="47"/>
      <c r="AM415" s="47"/>
      <c r="AN415" s="47"/>
      <c r="AO415" s="47"/>
      <c r="AP415" s="194"/>
      <c r="AQ415" s="47"/>
      <c r="AR415" s="47"/>
      <c r="AS415" s="47"/>
      <c r="AT415" s="194"/>
      <c r="AU415" s="194"/>
      <c r="AV415" s="194"/>
      <c r="AW415" s="194"/>
      <c r="AX415" s="194"/>
      <c r="AY415" s="194"/>
      <c r="AZ415" s="194"/>
      <c r="BA415" s="194"/>
      <c r="BB415" s="194"/>
      <c r="BC415" s="194"/>
      <c r="BD415" s="194"/>
      <c r="BE415" s="194"/>
      <c r="BF415" s="194"/>
      <c r="BG415" s="194"/>
      <c r="BH415" s="194"/>
      <c r="BI415" s="194"/>
      <c r="BJ415" s="194"/>
      <c r="BK415" s="194"/>
      <c r="BL415" s="194"/>
      <c r="BM415" s="194"/>
      <c r="BN415" s="194"/>
      <c r="BO415" s="194"/>
      <c r="BP415" s="194"/>
      <c r="BQ415" s="47"/>
      <c r="BR415" s="194"/>
      <c r="BS415" s="47"/>
      <c r="BT415" s="47"/>
      <c r="BU415" s="47"/>
      <c r="BV415" s="47"/>
      <c r="BW415" s="47"/>
      <c r="BX415" s="194"/>
      <c r="BY415" s="194"/>
      <c r="BZ415" s="194"/>
      <c r="CA415" s="194"/>
      <c r="CB415" s="194"/>
      <c r="CC415" s="47"/>
      <c r="CD415" s="47"/>
      <c r="CE415" s="47"/>
      <c r="CF415" s="47"/>
      <c r="CG415" s="47"/>
      <c r="CH415" s="47"/>
      <c r="CI415" s="47"/>
      <c r="CJ415" s="47"/>
      <c r="CK415" s="224"/>
      <c r="CL415" s="194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>
        <v>24</v>
      </c>
      <c r="CW415" s="47"/>
      <c r="CX415" s="194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198"/>
      <c r="DX415" s="47"/>
      <c r="DY415" s="194"/>
      <c r="DZ415" s="47"/>
      <c r="EA415" s="47"/>
      <c r="EB415" s="194"/>
      <c r="EC415" s="47"/>
      <c r="ED415" s="195"/>
      <c r="EE415" s="195"/>
      <c r="EF415" s="195"/>
      <c r="EG415" s="195"/>
      <c r="EH415" s="195">
        <v>1</v>
      </c>
      <c r="EI415" s="196">
        <f t="shared" si="21"/>
        <v>17.25</v>
      </c>
      <c r="EJ415" s="201">
        <f t="shared" si="22"/>
        <v>21.907499999999999</v>
      </c>
      <c r="EK415" s="202">
        <v>0</v>
      </c>
      <c r="EL415" s="355"/>
      <c r="FA415" s="251">
        <f t="shared" si="20"/>
        <v>17.25</v>
      </c>
    </row>
    <row r="416" spans="1:157" s="89" customFormat="1" ht="20.149999999999999" customHeight="1" x14ac:dyDescent="0.35">
      <c r="A416" s="2"/>
      <c r="B416" s="47" t="s">
        <v>1116</v>
      </c>
      <c r="C416" s="47" t="s">
        <v>1431</v>
      </c>
      <c r="D416" s="47"/>
      <c r="E416" s="2" t="s">
        <v>85</v>
      </c>
      <c r="F416" s="2" t="s">
        <v>319</v>
      </c>
      <c r="G416" s="2" t="s">
        <v>76</v>
      </c>
      <c r="H416" s="407">
        <v>15.53</v>
      </c>
      <c r="I416" s="47"/>
      <c r="J416" s="47"/>
      <c r="K416" s="47"/>
      <c r="L416" s="47"/>
      <c r="M416" s="47">
        <v>22</v>
      </c>
      <c r="N416" s="194"/>
      <c r="O416" s="194"/>
      <c r="P416" s="194"/>
      <c r="Q416" s="194"/>
      <c r="R416" s="47"/>
      <c r="S416" s="194"/>
      <c r="T416" s="47"/>
      <c r="U416" s="194"/>
      <c r="V416" s="47"/>
      <c r="W416" s="194"/>
      <c r="X416" s="47"/>
      <c r="Y416" s="194"/>
      <c r="Z416" s="194"/>
      <c r="AA416" s="47"/>
      <c r="AB416" s="47"/>
      <c r="AC416" s="47"/>
      <c r="AD416" s="47"/>
      <c r="AE416" s="194"/>
      <c r="AF416" s="194"/>
      <c r="AG416" s="194"/>
      <c r="AH416" s="355"/>
      <c r="AI416" s="47"/>
      <c r="AJ416" s="223"/>
      <c r="AK416" s="47"/>
      <c r="AL416" s="47"/>
      <c r="AM416" s="47"/>
      <c r="AN416" s="47"/>
      <c r="AO416" s="47"/>
      <c r="AP416" s="194"/>
      <c r="AQ416" s="47"/>
      <c r="AR416" s="47"/>
      <c r="AS416" s="47"/>
      <c r="AT416" s="194"/>
      <c r="AU416" s="194"/>
      <c r="AV416" s="194"/>
      <c r="AW416" s="194"/>
      <c r="AX416" s="194"/>
      <c r="AY416" s="194"/>
      <c r="AZ416" s="194"/>
      <c r="BA416" s="194"/>
      <c r="BB416" s="194"/>
      <c r="BC416" s="194"/>
      <c r="BD416" s="194"/>
      <c r="BE416" s="194"/>
      <c r="BF416" s="194"/>
      <c r="BG416" s="194"/>
      <c r="BH416" s="194"/>
      <c r="BI416" s="194"/>
      <c r="BJ416" s="194"/>
      <c r="BK416" s="194"/>
      <c r="BL416" s="194"/>
      <c r="BM416" s="194"/>
      <c r="BN416" s="194"/>
      <c r="BO416" s="194"/>
      <c r="BP416" s="194"/>
      <c r="BQ416" s="47"/>
      <c r="BR416" s="194"/>
      <c r="BS416" s="47"/>
      <c r="BT416" s="47"/>
      <c r="BU416" s="47"/>
      <c r="BV416" s="47"/>
      <c r="BW416" s="47"/>
      <c r="BX416" s="194"/>
      <c r="BY416" s="194"/>
      <c r="BZ416" s="194"/>
      <c r="CA416" s="194"/>
      <c r="CB416" s="194"/>
      <c r="CC416" s="47"/>
      <c r="CD416" s="47"/>
      <c r="CE416" s="47"/>
      <c r="CF416" s="47"/>
      <c r="CG416" s="47"/>
      <c r="CH416" s="47"/>
      <c r="CI416" s="47"/>
      <c r="CJ416" s="47"/>
      <c r="CK416" s="224"/>
      <c r="CL416" s="194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>
        <v>22</v>
      </c>
      <c r="CW416" s="47"/>
      <c r="CX416" s="194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198"/>
      <c r="DX416" s="47"/>
      <c r="DY416" s="194"/>
      <c r="DZ416" s="47"/>
      <c r="EA416" s="47"/>
      <c r="EB416" s="194"/>
      <c r="EC416" s="47"/>
      <c r="ED416" s="195"/>
      <c r="EE416" s="195"/>
      <c r="EF416" s="195"/>
      <c r="EG416" s="195"/>
      <c r="EH416" s="195">
        <v>6</v>
      </c>
      <c r="EI416" s="196">
        <f t="shared" si="21"/>
        <v>93.179999999999993</v>
      </c>
      <c r="EJ416" s="201">
        <f t="shared" si="22"/>
        <v>19.723099999999999</v>
      </c>
      <c r="EK416" s="202">
        <f t="shared" si="23"/>
        <v>22</v>
      </c>
      <c r="EL416" s="355"/>
      <c r="FA416" s="251">
        <f t="shared" ref="FA416:FA430" si="25">H416</f>
        <v>15.53</v>
      </c>
    </row>
    <row r="417" spans="1:157" s="89" customFormat="1" ht="20.149999999999999" customHeight="1" x14ac:dyDescent="0.35">
      <c r="A417" s="2"/>
      <c r="B417" s="47" t="s">
        <v>1117</v>
      </c>
      <c r="C417" s="47" t="s">
        <v>1431</v>
      </c>
      <c r="D417" s="2" t="s">
        <v>56</v>
      </c>
      <c r="E417" s="40" t="s">
        <v>329</v>
      </c>
      <c r="F417" s="2" t="s">
        <v>319</v>
      </c>
      <c r="G417" s="2" t="s">
        <v>76</v>
      </c>
      <c r="H417" s="420">
        <f>17.25*1.08</f>
        <v>18.630000000000003</v>
      </c>
      <c r="I417" s="47"/>
      <c r="J417" s="47"/>
      <c r="K417" s="47"/>
      <c r="L417" s="47"/>
      <c r="M417" s="47"/>
      <c r="N417" s="194"/>
      <c r="O417" s="194"/>
      <c r="P417" s="194"/>
      <c r="Q417" s="194"/>
      <c r="R417" s="47"/>
      <c r="S417" s="194"/>
      <c r="T417" s="47"/>
      <c r="U417" s="194"/>
      <c r="V417" s="47"/>
      <c r="W417" s="194"/>
      <c r="X417" s="47"/>
      <c r="Y417" s="194"/>
      <c r="Z417" s="194"/>
      <c r="AA417" s="47"/>
      <c r="AB417" s="47">
        <v>24</v>
      </c>
      <c r="AC417" s="47"/>
      <c r="AD417" s="47"/>
      <c r="AE417" s="194"/>
      <c r="AF417" s="194"/>
      <c r="AG417" s="194"/>
      <c r="AH417" s="355"/>
      <c r="AI417" s="47"/>
      <c r="AJ417" s="223"/>
      <c r="AK417" s="47"/>
      <c r="AL417" s="47"/>
      <c r="AM417" s="47"/>
      <c r="AN417" s="47"/>
      <c r="AO417" s="47"/>
      <c r="AP417" s="194"/>
      <c r="AQ417" s="47"/>
      <c r="AR417" s="47"/>
      <c r="AS417" s="47"/>
      <c r="AT417" s="194"/>
      <c r="AU417" s="194"/>
      <c r="AV417" s="194"/>
      <c r="AW417" s="194"/>
      <c r="AX417" s="194"/>
      <c r="AY417" s="194"/>
      <c r="AZ417" s="194"/>
      <c r="BA417" s="194"/>
      <c r="BB417" s="194"/>
      <c r="BC417" s="194"/>
      <c r="BD417" s="194"/>
      <c r="BE417" s="194"/>
      <c r="BF417" s="194"/>
      <c r="BG417" s="194"/>
      <c r="BH417" s="194"/>
      <c r="BI417" s="194"/>
      <c r="BJ417" s="194"/>
      <c r="BK417" s="194"/>
      <c r="BL417" s="194"/>
      <c r="BM417" s="194">
        <v>24</v>
      </c>
      <c r="BN417" s="194"/>
      <c r="BO417" s="194"/>
      <c r="BP417" s="194"/>
      <c r="BQ417" s="47"/>
      <c r="BR417" s="194"/>
      <c r="BS417" s="47"/>
      <c r="BT417" s="47"/>
      <c r="BU417" s="47"/>
      <c r="BV417" s="47"/>
      <c r="BW417" s="47"/>
      <c r="BX417" s="194"/>
      <c r="BY417" s="194"/>
      <c r="BZ417" s="194"/>
      <c r="CA417" s="194"/>
      <c r="CB417" s="194"/>
      <c r="CC417" s="47"/>
      <c r="CD417" s="47"/>
      <c r="CE417" s="47"/>
      <c r="CF417" s="47"/>
      <c r="CG417" s="47"/>
      <c r="CH417" s="47"/>
      <c r="CI417" s="47"/>
      <c r="CJ417" s="47"/>
      <c r="CK417" s="224"/>
      <c r="CL417" s="194"/>
      <c r="CM417" s="47"/>
      <c r="CN417" s="47"/>
      <c r="CO417" s="47"/>
      <c r="CP417" s="47">
        <v>24</v>
      </c>
      <c r="CQ417" s="47"/>
      <c r="CR417" s="47"/>
      <c r="CS417" s="47"/>
      <c r="CT417" s="47"/>
      <c r="CU417" s="47"/>
      <c r="CV417" s="47"/>
      <c r="CW417" s="47"/>
      <c r="CX417" s="194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198"/>
      <c r="DX417" s="47"/>
      <c r="DY417" s="194"/>
      <c r="DZ417" s="47"/>
      <c r="EA417" s="47"/>
      <c r="EB417" s="194"/>
      <c r="EC417" s="47"/>
      <c r="ED417" s="195"/>
      <c r="EE417" s="195"/>
      <c r="EF417" s="195"/>
      <c r="EG417" s="195"/>
      <c r="EH417" s="195">
        <v>10</v>
      </c>
      <c r="EI417" s="196">
        <f t="shared" si="21"/>
        <v>186.3</v>
      </c>
      <c r="EJ417" s="201">
        <f t="shared" si="22"/>
        <v>23.660100000000003</v>
      </c>
      <c r="EK417" s="202">
        <f t="shared" si="23"/>
        <v>24</v>
      </c>
      <c r="EL417" s="355"/>
      <c r="FA417" s="251">
        <f t="shared" si="25"/>
        <v>18.630000000000003</v>
      </c>
    </row>
    <row r="418" spans="1:157" s="89" customFormat="1" ht="20.149999999999999" customHeight="1" x14ac:dyDescent="0.35">
      <c r="A418" s="2"/>
      <c r="B418" s="47" t="s">
        <v>1118</v>
      </c>
      <c r="C418" s="47" t="s">
        <v>1431</v>
      </c>
      <c r="D418" s="252" t="s">
        <v>1541</v>
      </c>
      <c r="E418" s="2" t="s">
        <v>330</v>
      </c>
      <c r="F418" s="2" t="s">
        <v>319</v>
      </c>
      <c r="G418" s="2" t="s">
        <v>76</v>
      </c>
      <c r="H418" s="420">
        <f>13.8*1.08</f>
        <v>14.904000000000002</v>
      </c>
      <c r="I418" s="47"/>
      <c r="J418" s="47"/>
      <c r="K418" s="47"/>
      <c r="L418" s="47"/>
      <c r="M418" s="47"/>
      <c r="N418" s="194"/>
      <c r="O418" s="194"/>
      <c r="P418" s="194"/>
      <c r="Q418" s="194"/>
      <c r="R418" s="47"/>
      <c r="S418" s="194"/>
      <c r="T418" s="47"/>
      <c r="U418" s="194"/>
      <c r="V418" s="47"/>
      <c r="W418" s="194"/>
      <c r="X418" s="47"/>
      <c r="Y418" s="194"/>
      <c r="Z418" s="194"/>
      <c r="AA418" s="47"/>
      <c r="AB418" s="47"/>
      <c r="AC418" s="47"/>
      <c r="AD418" s="47"/>
      <c r="AE418" s="194"/>
      <c r="AF418" s="194"/>
      <c r="AG418" s="194"/>
      <c r="AH418" s="355"/>
      <c r="AI418" s="47"/>
      <c r="AJ418" s="223"/>
      <c r="AK418" s="47"/>
      <c r="AL418" s="47"/>
      <c r="AM418" s="47"/>
      <c r="AN418" s="47"/>
      <c r="AO418" s="47"/>
      <c r="AP418" s="194"/>
      <c r="AQ418" s="47"/>
      <c r="AR418" s="47"/>
      <c r="AS418" s="47"/>
      <c r="AT418" s="194"/>
      <c r="AU418" s="194"/>
      <c r="AV418" s="194"/>
      <c r="AW418" s="194"/>
      <c r="AX418" s="194"/>
      <c r="AY418" s="194"/>
      <c r="AZ418" s="194"/>
      <c r="BA418" s="194"/>
      <c r="BB418" s="194"/>
      <c r="BC418" s="194"/>
      <c r="BD418" s="194"/>
      <c r="BE418" s="194"/>
      <c r="BF418" s="194"/>
      <c r="BG418" s="194"/>
      <c r="BH418" s="194"/>
      <c r="BI418" s="194"/>
      <c r="BJ418" s="194"/>
      <c r="BK418" s="194"/>
      <c r="BL418" s="194"/>
      <c r="BM418" s="194"/>
      <c r="BN418" s="194"/>
      <c r="BO418" s="194"/>
      <c r="BP418" s="194"/>
      <c r="BQ418" s="47"/>
      <c r="BR418" s="194"/>
      <c r="BS418" s="47"/>
      <c r="BT418" s="47"/>
      <c r="BU418" s="47"/>
      <c r="BV418" s="47"/>
      <c r="BW418" s="47"/>
      <c r="BX418" s="194"/>
      <c r="BY418" s="194"/>
      <c r="BZ418" s="194"/>
      <c r="CA418" s="194"/>
      <c r="CB418" s="194"/>
      <c r="CC418" s="47"/>
      <c r="CD418" s="47"/>
      <c r="CE418" s="47"/>
      <c r="CF418" s="47"/>
      <c r="CG418" s="47"/>
      <c r="CH418" s="47"/>
      <c r="CI418" s="47"/>
      <c r="CJ418" s="47"/>
      <c r="CK418" s="224"/>
      <c r="CL418" s="194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>
        <v>19</v>
      </c>
      <c r="CW418" s="47"/>
      <c r="CX418" s="194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198"/>
      <c r="DX418" s="47"/>
      <c r="DY418" s="194"/>
      <c r="DZ418" s="47"/>
      <c r="EA418" s="47"/>
      <c r="EB418" s="194"/>
      <c r="EC418" s="47"/>
      <c r="ED418" s="195"/>
      <c r="EE418" s="195"/>
      <c r="EF418" s="195"/>
      <c r="EG418" s="195"/>
      <c r="EH418" s="195">
        <v>0</v>
      </c>
      <c r="EI418" s="196">
        <f t="shared" si="21"/>
        <v>0</v>
      </c>
      <c r="EJ418" s="201">
        <f t="shared" si="22"/>
        <v>18.928080000000001</v>
      </c>
      <c r="EK418" s="202">
        <v>0</v>
      </c>
      <c r="EL418" s="355"/>
      <c r="FA418" s="251">
        <f t="shared" si="25"/>
        <v>14.904000000000002</v>
      </c>
    </row>
    <row r="419" spans="1:157" s="89" customFormat="1" ht="20.149999999999999" customHeight="1" x14ac:dyDescent="0.35">
      <c r="A419" s="2"/>
      <c r="B419" s="47" t="s">
        <v>1119</v>
      </c>
      <c r="C419" s="47" t="s">
        <v>1431</v>
      </c>
      <c r="D419" s="47"/>
      <c r="E419" s="376" t="s">
        <v>331</v>
      </c>
      <c r="F419" s="2" t="s">
        <v>237</v>
      </c>
      <c r="G419" s="2" t="s">
        <v>76</v>
      </c>
      <c r="H419" s="57"/>
      <c r="I419" s="47"/>
      <c r="J419" s="47"/>
      <c r="K419" s="47"/>
      <c r="L419" s="47"/>
      <c r="M419" s="47"/>
      <c r="N419" s="194"/>
      <c r="O419" s="194"/>
      <c r="P419" s="194"/>
      <c r="Q419" s="194"/>
      <c r="R419" s="47"/>
      <c r="S419" s="194"/>
      <c r="T419" s="47"/>
      <c r="U419" s="194"/>
      <c r="V419" s="47"/>
      <c r="W419" s="194"/>
      <c r="X419" s="47"/>
      <c r="Y419" s="194"/>
      <c r="Z419" s="194"/>
      <c r="AA419" s="47"/>
      <c r="AB419" s="47"/>
      <c r="AC419" s="47"/>
      <c r="AD419" s="47"/>
      <c r="AE419" s="194"/>
      <c r="AF419" s="194"/>
      <c r="AG419" s="194"/>
      <c r="AH419" s="355"/>
      <c r="AI419" s="47"/>
      <c r="AJ419" s="223"/>
      <c r="AK419" s="47"/>
      <c r="AL419" s="47"/>
      <c r="AM419" s="47"/>
      <c r="AN419" s="47"/>
      <c r="AO419" s="47"/>
      <c r="AP419" s="194"/>
      <c r="AQ419" s="47"/>
      <c r="AR419" s="47"/>
      <c r="AS419" s="47"/>
      <c r="AT419" s="194"/>
      <c r="AU419" s="194"/>
      <c r="AV419" s="194"/>
      <c r="AW419" s="194"/>
      <c r="AX419" s="194"/>
      <c r="AY419" s="194"/>
      <c r="AZ419" s="194"/>
      <c r="BA419" s="194"/>
      <c r="BB419" s="194"/>
      <c r="BC419" s="194"/>
      <c r="BD419" s="194"/>
      <c r="BE419" s="194"/>
      <c r="BF419" s="194"/>
      <c r="BG419" s="194"/>
      <c r="BH419" s="194"/>
      <c r="BI419" s="194"/>
      <c r="BJ419" s="194"/>
      <c r="BK419" s="194"/>
      <c r="BL419" s="194"/>
      <c r="BM419" s="194"/>
      <c r="BN419" s="194"/>
      <c r="BO419" s="194"/>
      <c r="BP419" s="194"/>
      <c r="BQ419" s="47"/>
      <c r="BR419" s="194"/>
      <c r="BS419" s="47"/>
      <c r="BT419" s="47"/>
      <c r="BU419" s="47"/>
      <c r="BV419" s="47"/>
      <c r="BW419" s="47"/>
      <c r="BX419" s="194"/>
      <c r="BY419" s="194"/>
      <c r="BZ419" s="194"/>
      <c r="CA419" s="194"/>
      <c r="CB419" s="194"/>
      <c r="CC419" s="47"/>
      <c r="CD419" s="47"/>
      <c r="CE419" s="47"/>
      <c r="CF419" s="47"/>
      <c r="CG419" s="47"/>
      <c r="CH419" s="47"/>
      <c r="CI419" s="47"/>
      <c r="CJ419" s="47"/>
      <c r="CK419" s="224"/>
      <c r="CL419" s="194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>
        <v>46</v>
      </c>
      <c r="CW419" s="47"/>
      <c r="CX419" s="194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198"/>
      <c r="DX419" s="47"/>
      <c r="DY419" s="194"/>
      <c r="DZ419" s="47"/>
      <c r="EA419" s="47"/>
      <c r="EB419" s="194"/>
      <c r="EC419" s="47"/>
      <c r="ED419" s="195"/>
      <c r="EE419" s="195"/>
      <c r="EF419" s="195"/>
      <c r="EG419" s="195"/>
      <c r="EH419" s="195">
        <v>1</v>
      </c>
      <c r="EI419" s="196">
        <f t="shared" si="21"/>
        <v>0</v>
      </c>
      <c r="EJ419" s="201">
        <f t="shared" si="22"/>
        <v>0</v>
      </c>
      <c r="EK419" s="202">
        <v>36</v>
      </c>
      <c r="EL419" s="355"/>
      <c r="FA419" s="251">
        <f t="shared" si="25"/>
        <v>0</v>
      </c>
    </row>
    <row r="420" spans="1:157" s="89" customFormat="1" ht="20.149999999999999" customHeight="1" x14ac:dyDescent="0.35">
      <c r="A420" s="2"/>
      <c r="B420" s="47" t="s">
        <v>1120</v>
      </c>
      <c r="C420" s="47" t="s">
        <v>1431</v>
      </c>
      <c r="D420" s="252" t="s">
        <v>1541</v>
      </c>
      <c r="E420" s="2" t="s">
        <v>330</v>
      </c>
      <c r="F420" s="2" t="s">
        <v>237</v>
      </c>
      <c r="G420" s="2" t="s">
        <v>76</v>
      </c>
      <c r="H420" s="57">
        <v>25</v>
      </c>
      <c r="I420" s="47"/>
      <c r="J420" s="47"/>
      <c r="K420" s="47"/>
      <c r="L420" s="47"/>
      <c r="M420" s="47"/>
      <c r="N420" s="194"/>
      <c r="O420" s="194"/>
      <c r="P420" s="194"/>
      <c r="Q420" s="194"/>
      <c r="R420" s="47"/>
      <c r="S420" s="194"/>
      <c r="T420" s="47"/>
      <c r="U420" s="194"/>
      <c r="V420" s="47"/>
      <c r="W420" s="194"/>
      <c r="X420" s="47"/>
      <c r="Y420" s="194"/>
      <c r="Z420" s="194"/>
      <c r="AA420" s="47"/>
      <c r="AB420" s="47"/>
      <c r="AC420" s="47"/>
      <c r="AD420" s="47"/>
      <c r="AE420" s="194"/>
      <c r="AF420" s="194"/>
      <c r="AG420" s="194"/>
      <c r="AH420" s="355"/>
      <c r="AI420" s="47"/>
      <c r="AJ420" s="223"/>
      <c r="AK420" s="47"/>
      <c r="AL420" s="47"/>
      <c r="AM420" s="47"/>
      <c r="AN420" s="47"/>
      <c r="AO420" s="47"/>
      <c r="AP420" s="194"/>
      <c r="AQ420" s="47"/>
      <c r="AR420" s="47"/>
      <c r="AS420" s="47">
        <v>28</v>
      </c>
      <c r="AT420" s="194"/>
      <c r="AU420" s="194"/>
      <c r="AV420" s="194"/>
      <c r="AW420" s="194"/>
      <c r="AX420" s="194"/>
      <c r="AY420" s="194"/>
      <c r="AZ420" s="194"/>
      <c r="BA420" s="194"/>
      <c r="BB420" s="194"/>
      <c r="BC420" s="194"/>
      <c r="BD420" s="194"/>
      <c r="BE420" s="194"/>
      <c r="BF420" s="194"/>
      <c r="BG420" s="194"/>
      <c r="BH420" s="194"/>
      <c r="BI420" s="194"/>
      <c r="BJ420" s="194"/>
      <c r="BK420" s="194"/>
      <c r="BL420" s="194"/>
      <c r="BM420" s="194"/>
      <c r="BN420" s="194"/>
      <c r="BO420" s="194"/>
      <c r="BP420" s="194"/>
      <c r="BQ420" s="47"/>
      <c r="BR420" s="194"/>
      <c r="BS420" s="47"/>
      <c r="BT420" s="47"/>
      <c r="BU420" s="47"/>
      <c r="BV420" s="47"/>
      <c r="BW420" s="47"/>
      <c r="BX420" s="194"/>
      <c r="BY420" s="194"/>
      <c r="BZ420" s="194"/>
      <c r="CA420" s="194"/>
      <c r="CB420" s="194"/>
      <c r="CC420" s="47"/>
      <c r="CD420" s="47"/>
      <c r="CE420" s="47"/>
      <c r="CF420" s="47"/>
      <c r="CG420" s="47"/>
      <c r="CH420" s="47"/>
      <c r="CI420" s="47"/>
      <c r="CJ420" s="47"/>
      <c r="CK420" s="224"/>
      <c r="CL420" s="194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194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198"/>
      <c r="DX420" s="47"/>
      <c r="DY420" s="194"/>
      <c r="DZ420" s="47"/>
      <c r="EA420" s="47"/>
      <c r="EB420" s="194"/>
      <c r="EC420" s="47"/>
      <c r="ED420" s="195"/>
      <c r="EE420" s="195"/>
      <c r="EF420" s="195"/>
      <c r="EG420" s="195"/>
      <c r="EH420" s="195">
        <v>1</v>
      </c>
      <c r="EI420" s="196">
        <f t="shared" si="21"/>
        <v>25</v>
      </c>
      <c r="EJ420" s="201">
        <f t="shared" si="22"/>
        <v>31.75</v>
      </c>
      <c r="EK420" s="202">
        <f t="shared" si="23"/>
        <v>28</v>
      </c>
      <c r="EL420" s="355"/>
      <c r="FA420" s="251">
        <f t="shared" si="25"/>
        <v>25</v>
      </c>
    </row>
    <row r="421" spans="1:157" s="89" customFormat="1" ht="20.149999999999999" customHeight="1" x14ac:dyDescent="0.35">
      <c r="A421" s="2"/>
      <c r="B421" s="47" t="s">
        <v>1121</v>
      </c>
      <c r="C421" s="47" t="s">
        <v>1431</v>
      </c>
      <c r="D421" s="252" t="s">
        <v>1541</v>
      </c>
      <c r="E421" s="2" t="s">
        <v>274</v>
      </c>
      <c r="F421" s="2" t="s">
        <v>237</v>
      </c>
      <c r="G421" s="2" t="s">
        <v>76</v>
      </c>
      <c r="H421" s="57">
        <v>29</v>
      </c>
      <c r="I421" s="47"/>
      <c r="J421" s="47"/>
      <c r="K421" s="47"/>
      <c r="L421" s="47"/>
      <c r="M421" s="47"/>
      <c r="N421" s="194"/>
      <c r="O421" s="194"/>
      <c r="P421" s="194"/>
      <c r="Q421" s="194"/>
      <c r="R421" s="47"/>
      <c r="S421" s="194"/>
      <c r="T421" s="47"/>
      <c r="U421" s="194"/>
      <c r="V421" s="47"/>
      <c r="W421" s="194"/>
      <c r="X421" s="47"/>
      <c r="Y421" s="194"/>
      <c r="Z421" s="194"/>
      <c r="AA421" s="47"/>
      <c r="AB421" s="47"/>
      <c r="AC421" s="47"/>
      <c r="AD421" s="47"/>
      <c r="AE421" s="194"/>
      <c r="AF421" s="194"/>
      <c r="AG421" s="194"/>
      <c r="AH421" s="355"/>
      <c r="AI421" s="47"/>
      <c r="AJ421" s="223"/>
      <c r="AK421" s="47"/>
      <c r="AL421" s="47"/>
      <c r="AM421" s="47"/>
      <c r="AN421" s="47"/>
      <c r="AO421" s="47"/>
      <c r="AP421" s="194"/>
      <c r="AQ421" s="47"/>
      <c r="AR421" s="47"/>
      <c r="AS421" s="47">
        <v>28</v>
      </c>
      <c r="AT421" s="194"/>
      <c r="AU421" s="194"/>
      <c r="AV421" s="194"/>
      <c r="AW421" s="194"/>
      <c r="AX421" s="194"/>
      <c r="AY421" s="194"/>
      <c r="AZ421" s="194"/>
      <c r="BA421" s="194"/>
      <c r="BB421" s="194"/>
      <c r="BC421" s="194"/>
      <c r="BD421" s="194"/>
      <c r="BE421" s="194"/>
      <c r="BF421" s="194"/>
      <c r="BG421" s="194"/>
      <c r="BH421" s="194"/>
      <c r="BI421" s="194"/>
      <c r="BJ421" s="194"/>
      <c r="BK421" s="194"/>
      <c r="BL421" s="194"/>
      <c r="BM421" s="194"/>
      <c r="BN421" s="194"/>
      <c r="BO421" s="194"/>
      <c r="BP421" s="194"/>
      <c r="BQ421" s="47"/>
      <c r="BR421" s="194"/>
      <c r="BS421" s="47"/>
      <c r="BT421" s="47"/>
      <c r="BU421" s="47"/>
      <c r="BV421" s="47"/>
      <c r="BW421" s="47"/>
      <c r="BX421" s="194"/>
      <c r="BY421" s="194"/>
      <c r="BZ421" s="194"/>
      <c r="CA421" s="194"/>
      <c r="CB421" s="194"/>
      <c r="CC421" s="47"/>
      <c r="CD421" s="47"/>
      <c r="CE421" s="47"/>
      <c r="CF421" s="47"/>
      <c r="CG421" s="47"/>
      <c r="CH421" s="47"/>
      <c r="CI421" s="47"/>
      <c r="CJ421" s="47"/>
      <c r="CK421" s="224"/>
      <c r="CL421" s="194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194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198"/>
      <c r="DX421" s="47"/>
      <c r="DY421" s="194"/>
      <c r="DZ421" s="47"/>
      <c r="EA421" s="47"/>
      <c r="EB421" s="194"/>
      <c r="EC421" s="47"/>
      <c r="ED421" s="195"/>
      <c r="EE421" s="195"/>
      <c r="EF421" s="195"/>
      <c r="EG421" s="195"/>
      <c r="EH421" s="195">
        <v>2</v>
      </c>
      <c r="EI421" s="196">
        <f t="shared" si="21"/>
        <v>58</v>
      </c>
      <c r="EJ421" s="201">
        <f t="shared" si="22"/>
        <v>36.83</v>
      </c>
      <c r="EK421" s="202">
        <f t="shared" si="23"/>
        <v>28</v>
      </c>
      <c r="EL421" s="355"/>
      <c r="FA421" s="251">
        <f t="shared" si="25"/>
        <v>29</v>
      </c>
    </row>
    <row r="422" spans="1:157" s="89" customFormat="1" ht="20.149999999999999" customHeight="1" x14ac:dyDescent="0.35">
      <c r="A422" s="2"/>
      <c r="B422" s="47" t="s">
        <v>1122</v>
      </c>
      <c r="C422" s="47" t="s">
        <v>1431</v>
      </c>
      <c r="D422" s="252" t="s">
        <v>1541</v>
      </c>
      <c r="E422" s="2" t="s">
        <v>1542</v>
      </c>
      <c r="F422" s="2" t="s">
        <v>237</v>
      </c>
      <c r="G422" s="2" t="s">
        <v>76</v>
      </c>
      <c r="H422" s="57">
        <v>26</v>
      </c>
      <c r="I422" s="47"/>
      <c r="J422" s="47"/>
      <c r="K422" s="47"/>
      <c r="L422" s="47"/>
      <c r="M422" s="47"/>
      <c r="N422" s="194"/>
      <c r="O422" s="194"/>
      <c r="P422" s="194"/>
      <c r="Q422" s="194"/>
      <c r="R422" s="47"/>
      <c r="S422" s="194"/>
      <c r="T422" s="47"/>
      <c r="U422" s="194"/>
      <c r="V422" s="47"/>
      <c r="W422" s="194"/>
      <c r="X422" s="47"/>
      <c r="Y422" s="194"/>
      <c r="Z422" s="194"/>
      <c r="AA422" s="47"/>
      <c r="AB422" s="47"/>
      <c r="AC422" s="47"/>
      <c r="AD422" s="47"/>
      <c r="AE422" s="194"/>
      <c r="AF422" s="194"/>
      <c r="AG422" s="194"/>
      <c r="AH422" s="355"/>
      <c r="AI422" s="47"/>
      <c r="AJ422" s="223"/>
      <c r="AK422" s="47"/>
      <c r="AL422" s="47"/>
      <c r="AM422" s="47"/>
      <c r="AN422" s="47"/>
      <c r="AO422" s="47"/>
      <c r="AP422" s="194"/>
      <c r="AQ422" s="47"/>
      <c r="AR422" s="47"/>
      <c r="AS422" s="47"/>
      <c r="AT422" s="194"/>
      <c r="AU422" s="194"/>
      <c r="AV422" s="194"/>
      <c r="AW422" s="194"/>
      <c r="AX422" s="194"/>
      <c r="AY422" s="194"/>
      <c r="AZ422" s="194"/>
      <c r="BA422" s="194"/>
      <c r="BB422" s="194"/>
      <c r="BC422" s="194"/>
      <c r="BD422" s="194"/>
      <c r="BE422" s="194"/>
      <c r="BF422" s="194"/>
      <c r="BG422" s="194"/>
      <c r="BH422" s="194"/>
      <c r="BI422" s="194"/>
      <c r="BJ422" s="194"/>
      <c r="BK422" s="194"/>
      <c r="BL422" s="194"/>
      <c r="BM422" s="194"/>
      <c r="BN422" s="194"/>
      <c r="BO422" s="194"/>
      <c r="BP422" s="194"/>
      <c r="BQ422" s="47"/>
      <c r="BR422" s="194"/>
      <c r="BS422" s="47"/>
      <c r="BT422" s="47"/>
      <c r="BU422" s="47"/>
      <c r="BV422" s="47"/>
      <c r="BW422" s="47"/>
      <c r="BX422" s="194"/>
      <c r="BY422" s="194"/>
      <c r="BZ422" s="194"/>
      <c r="CA422" s="194"/>
      <c r="CB422" s="194"/>
      <c r="CC422" s="47"/>
      <c r="CD422" s="47"/>
      <c r="CE422" s="47"/>
      <c r="CF422" s="47"/>
      <c r="CG422" s="47"/>
      <c r="CH422" s="47"/>
      <c r="CI422" s="47"/>
      <c r="CJ422" s="47"/>
      <c r="CK422" s="224"/>
      <c r="CL422" s="194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194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198"/>
      <c r="DX422" s="47"/>
      <c r="DY422" s="194"/>
      <c r="DZ422" s="47"/>
      <c r="EA422" s="47"/>
      <c r="EB422" s="194"/>
      <c r="EC422" s="47"/>
      <c r="ED422" s="195"/>
      <c r="EE422" s="195"/>
      <c r="EF422" s="195"/>
      <c r="EG422" s="195"/>
      <c r="EH422" s="195">
        <v>0</v>
      </c>
      <c r="EI422" s="196">
        <f t="shared" si="21"/>
        <v>0</v>
      </c>
      <c r="EJ422" s="201">
        <f t="shared" si="22"/>
        <v>33.020000000000003</v>
      </c>
      <c r="EK422" s="202">
        <v>30</v>
      </c>
      <c r="EL422" s="355"/>
      <c r="FA422" s="251">
        <f t="shared" si="25"/>
        <v>26</v>
      </c>
    </row>
    <row r="423" spans="1:157" s="89" customFormat="1" ht="20.149999999999999" customHeight="1" x14ac:dyDescent="0.35">
      <c r="A423" s="2"/>
      <c r="B423" s="47" t="s">
        <v>1123</v>
      </c>
      <c r="C423" s="47" t="s">
        <v>1431</v>
      </c>
      <c r="D423" s="47"/>
      <c r="E423" s="376" t="s">
        <v>332</v>
      </c>
      <c r="F423" s="2" t="s">
        <v>237</v>
      </c>
      <c r="G423" s="2" t="s">
        <v>76</v>
      </c>
      <c r="H423" s="57"/>
      <c r="I423" s="47"/>
      <c r="J423" s="47"/>
      <c r="K423" s="47"/>
      <c r="L423" s="47"/>
      <c r="M423" s="47"/>
      <c r="N423" s="194"/>
      <c r="O423" s="194"/>
      <c r="P423" s="194"/>
      <c r="Q423" s="194"/>
      <c r="R423" s="47"/>
      <c r="S423" s="194"/>
      <c r="T423" s="47"/>
      <c r="U423" s="194"/>
      <c r="V423" s="47"/>
      <c r="W423" s="194"/>
      <c r="X423" s="47"/>
      <c r="Y423" s="194"/>
      <c r="Z423" s="194"/>
      <c r="AA423" s="47"/>
      <c r="AB423" s="47"/>
      <c r="AC423" s="47"/>
      <c r="AD423" s="47"/>
      <c r="AE423" s="194"/>
      <c r="AF423" s="194"/>
      <c r="AG423" s="194"/>
      <c r="AH423" s="355"/>
      <c r="AI423" s="47"/>
      <c r="AJ423" s="223"/>
      <c r="AK423" s="47"/>
      <c r="AL423" s="47"/>
      <c r="AM423" s="47"/>
      <c r="AN423" s="47"/>
      <c r="AO423" s="47"/>
      <c r="AP423" s="194"/>
      <c r="AQ423" s="47"/>
      <c r="AR423" s="47">
        <v>20</v>
      </c>
      <c r="AS423" s="47"/>
      <c r="AT423" s="194"/>
      <c r="AU423" s="194"/>
      <c r="AV423" s="194"/>
      <c r="AW423" s="194"/>
      <c r="AX423" s="194"/>
      <c r="AY423" s="194"/>
      <c r="AZ423" s="194"/>
      <c r="BA423" s="194"/>
      <c r="BB423" s="194"/>
      <c r="BC423" s="194"/>
      <c r="BD423" s="194"/>
      <c r="BE423" s="194"/>
      <c r="BF423" s="194"/>
      <c r="BG423" s="194"/>
      <c r="BH423" s="194"/>
      <c r="BI423" s="194"/>
      <c r="BJ423" s="194"/>
      <c r="BK423" s="194"/>
      <c r="BL423" s="194"/>
      <c r="BM423" s="194"/>
      <c r="BN423" s="194"/>
      <c r="BO423" s="194"/>
      <c r="BP423" s="194"/>
      <c r="BQ423" s="47"/>
      <c r="BR423" s="194"/>
      <c r="BS423" s="47"/>
      <c r="BT423" s="47"/>
      <c r="BU423" s="47"/>
      <c r="BV423" s="47"/>
      <c r="BW423" s="47"/>
      <c r="BX423" s="194"/>
      <c r="BY423" s="194"/>
      <c r="BZ423" s="194"/>
      <c r="CA423" s="194"/>
      <c r="CB423" s="194"/>
      <c r="CC423" s="47"/>
      <c r="CD423" s="47"/>
      <c r="CE423" s="47"/>
      <c r="CF423" s="47"/>
      <c r="CG423" s="47"/>
      <c r="CH423" s="47"/>
      <c r="CI423" s="47"/>
      <c r="CJ423" s="47"/>
      <c r="CK423" s="224"/>
      <c r="CL423" s="194">
        <v>18</v>
      </c>
      <c r="CM423" s="47"/>
      <c r="CN423" s="47"/>
      <c r="CO423" s="47"/>
      <c r="CP423" s="47">
        <v>18</v>
      </c>
      <c r="CQ423" s="47"/>
      <c r="CR423" s="47"/>
      <c r="CS423" s="47"/>
      <c r="CT423" s="47"/>
      <c r="CU423" s="47"/>
      <c r="CV423" s="47"/>
      <c r="CW423" s="47"/>
      <c r="CX423" s="194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>
        <v>18</v>
      </c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198"/>
      <c r="DX423" s="47"/>
      <c r="DY423" s="194"/>
      <c r="DZ423" s="47"/>
      <c r="EA423" s="47"/>
      <c r="EB423" s="194"/>
      <c r="EC423" s="47"/>
      <c r="ED423" s="195"/>
      <c r="EE423" s="195"/>
      <c r="EF423" s="195"/>
      <c r="EG423" s="195"/>
      <c r="EH423" s="195">
        <v>5</v>
      </c>
      <c r="EI423" s="196">
        <f t="shared" si="21"/>
        <v>0</v>
      </c>
      <c r="EJ423" s="201">
        <f t="shared" si="22"/>
        <v>0</v>
      </c>
      <c r="EK423" s="202">
        <f t="shared" si="23"/>
        <v>18.5</v>
      </c>
      <c r="EL423" s="355"/>
      <c r="FA423" s="251">
        <f t="shared" si="25"/>
        <v>0</v>
      </c>
    </row>
    <row r="424" spans="1:157" s="89" customFormat="1" ht="20.149999999999999" customHeight="1" x14ac:dyDescent="0.35">
      <c r="A424" s="47"/>
      <c r="B424" s="47" t="s">
        <v>1124</v>
      </c>
      <c r="C424" s="47" t="s">
        <v>347</v>
      </c>
      <c r="D424" s="40"/>
      <c r="E424" s="40" t="s">
        <v>1543</v>
      </c>
      <c r="F424" s="40" t="s">
        <v>1544</v>
      </c>
      <c r="G424" s="40" t="s">
        <v>34</v>
      </c>
      <c r="H424" s="57"/>
      <c r="I424" s="47"/>
      <c r="J424" s="47"/>
      <c r="K424" s="47"/>
      <c r="L424" s="47"/>
      <c r="M424" s="47"/>
      <c r="N424" s="194"/>
      <c r="O424" s="194"/>
      <c r="P424" s="194"/>
      <c r="Q424" s="194"/>
      <c r="R424" s="47"/>
      <c r="S424" s="194"/>
      <c r="T424" s="47"/>
      <c r="U424" s="194"/>
      <c r="V424" s="47"/>
      <c r="W424" s="194"/>
      <c r="X424" s="47"/>
      <c r="Y424" s="194"/>
      <c r="Z424" s="194"/>
      <c r="AA424" s="47"/>
      <c r="AB424" s="47"/>
      <c r="AC424" s="47"/>
      <c r="AD424" s="47"/>
      <c r="AE424" s="194"/>
      <c r="AF424" s="194"/>
      <c r="AG424" s="194"/>
      <c r="AH424" s="355"/>
      <c r="AI424" s="47"/>
      <c r="AJ424" s="198"/>
      <c r="AK424" s="47"/>
      <c r="AL424" s="47"/>
      <c r="AM424" s="47"/>
      <c r="AN424" s="47"/>
      <c r="AO424" s="47"/>
      <c r="AP424" s="194"/>
      <c r="AQ424" s="47"/>
      <c r="AR424" s="47"/>
      <c r="AS424" s="47"/>
      <c r="AT424" s="194"/>
      <c r="AU424" s="194"/>
      <c r="AV424" s="194"/>
      <c r="AW424" s="194"/>
      <c r="AX424" s="194"/>
      <c r="AY424" s="194"/>
      <c r="AZ424" s="194"/>
      <c r="BA424" s="194"/>
      <c r="BB424" s="194"/>
      <c r="BC424" s="194"/>
      <c r="BD424" s="194"/>
      <c r="BE424" s="194"/>
      <c r="BF424" s="194"/>
      <c r="BG424" s="194"/>
      <c r="BH424" s="194"/>
      <c r="BI424" s="194"/>
      <c r="BJ424" s="194"/>
      <c r="BK424" s="194"/>
      <c r="BL424" s="194"/>
      <c r="BM424" s="194"/>
      <c r="BN424" s="194"/>
      <c r="BO424" s="194"/>
      <c r="BP424" s="194"/>
      <c r="BQ424" s="47"/>
      <c r="BR424" s="194"/>
      <c r="BS424" s="47"/>
      <c r="BT424" s="47"/>
      <c r="BU424" s="47"/>
      <c r="BV424" s="47"/>
      <c r="BW424" s="47"/>
      <c r="BX424" s="194"/>
      <c r="BY424" s="194"/>
      <c r="BZ424" s="194"/>
      <c r="CA424" s="194"/>
      <c r="CB424" s="194"/>
      <c r="CC424" s="47"/>
      <c r="CD424" s="47"/>
      <c r="CE424" s="47"/>
      <c r="CF424" s="47"/>
      <c r="CG424" s="47"/>
      <c r="CH424" s="47"/>
      <c r="CI424" s="47"/>
      <c r="CJ424" s="47"/>
      <c r="CK424" s="47"/>
      <c r="CL424" s="194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194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198"/>
      <c r="DX424" s="47"/>
      <c r="DY424" s="194"/>
      <c r="DZ424" s="47"/>
      <c r="EA424" s="47"/>
      <c r="EB424" s="194"/>
      <c r="EC424" s="47"/>
      <c r="ED424" s="195"/>
      <c r="EE424" s="195"/>
      <c r="EF424" s="195"/>
      <c r="EG424" s="195"/>
      <c r="EH424" s="195">
        <v>4</v>
      </c>
      <c r="EI424" s="196">
        <f t="shared" si="21"/>
        <v>0</v>
      </c>
      <c r="EJ424" s="201">
        <f t="shared" si="22"/>
        <v>0</v>
      </c>
      <c r="EK424" s="202" t="e">
        <f t="shared" si="23"/>
        <v>#DIV/0!</v>
      </c>
      <c r="EL424" s="355"/>
      <c r="FA424" s="251">
        <f t="shared" si="25"/>
        <v>0</v>
      </c>
    </row>
    <row r="425" spans="1:157" s="89" customFormat="1" ht="20.149999999999999" customHeight="1" x14ac:dyDescent="0.35">
      <c r="A425" s="47"/>
      <c r="B425" s="47" t="s">
        <v>1125</v>
      </c>
      <c r="C425" s="47" t="s">
        <v>347</v>
      </c>
      <c r="D425" s="40"/>
      <c r="E425" s="40" t="s">
        <v>1543</v>
      </c>
      <c r="F425" s="40" t="s">
        <v>551</v>
      </c>
      <c r="G425" s="40" t="s">
        <v>34</v>
      </c>
      <c r="H425" s="57"/>
      <c r="I425" s="47"/>
      <c r="J425" s="47"/>
      <c r="K425" s="47"/>
      <c r="L425" s="47"/>
      <c r="M425" s="47"/>
      <c r="N425" s="194"/>
      <c r="O425" s="194"/>
      <c r="P425" s="194"/>
      <c r="Q425" s="194"/>
      <c r="R425" s="47"/>
      <c r="S425" s="194"/>
      <c r="T425" s="47"/>
      <c r="U425" s="194"/>
      <c r="V425" s="47"/>
      <c r="W425" s="194"/>
      <c r="X425" s="47"/>
      <c r="Y425" s="194"/>
      <c r="Z425" s="194"/>
      <c r="AA425" s="47"/>
      <c r="AB425" s="47"/>
      <c r="AC425" s="47"/>
      <c r="AD425" s="47"/>
      <c r="AE425" s="194"/>
      <c r="AF425" s="194"/>
      <c r="AG425" s="194"/>
      <c r="AH425" s="355"/>
      <c r="AI425" s="47"/>
      <c r="AJ425" s="198"/>
      <c r="AK425" s="47"/>
      <c r="AL425" s="47"/>
      <c r="AM425" s="47"/>
      <c r="AN425" s="47"/>
      <c r="AO425" s="47"/>
      <c r="AP425" s="194"/>
      <c r="AQ425" s="47"/>
      <c r="AR425" s="47"/>
      <c r="AS425" s="47"/>
      <c r="AT425" s="194"/>
      <c r="AU425" s="194"/>
      <c r="AV425" s="194"/>
      <c r="AW425" s="194"/>
      <c r="AX425" s="194"/>
      <c r="AY425" s="194"/>
      <c r="AZ425" s="194"/>
      <c r="BA425" s="194"/>
      <c r="BB425" s="194"/>
      <c r="BC425" s="194"/>
      <c r="BD425" s="194"/>
      <c r="BE425" s="194"/>
      <c r="BF425" s="194"/>
      <c r="BG425" s="194"/>
      <c r="BH425" s="194"/>
      <c r="BI425" s="194"/>
      <c r="BJ425" s="194"/>
      <c r="BK425" s="194"/>
      <c r="BL425" s="194"/>
      <c r="BM425" s="194"/>
      <c r="BN425" s="194"/>
      <c r="BO425" s="194"/>
      <c r="BP425" s="194"/>
      <c r="BQ425" s="47"/>
      <c r="BR425" s="194"/>
      <c r="BS425" s="47"/>
      <c r="BT425" s="47"/>
      <c r="BU425" s="47"/>
      <c r="BV425" s="47"/>
      <c r="BW425" s="47"/>
      <c r="BX425" s="194"/>
      <c r="BY425" s="194"/>
      <c r="BZ425" s="194"/>
      <c r="CA425" s="194"/>
      <c r="CB425" s="194"/>
      <c r="CC425" s="47"/>
      <c r="CD425" s="47"/>
      <c r="CE425" s="47"/>
      <c r="CF425" s="47"/>
      <c r="CG425" s="47"/>
      <c r="CH425" s="47"/>
      <c r="CI425" s="47"/>
      <c r="CJ425" s="47"/>
      <c r="CK425" s="47"/>
      <c r="CL425" s="194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194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198"/>
      <c r="DX425" s="47"/>
      <c r="DY425" s="194"/>
      <c r="DZ425" s="47"/>
      <c r="EA425" s="47"/>
      <c r="EB425" s="194"/>
      <c r="EC425" s="47"/>
      <c r="ED425" s="195"/>
      <c r="EE425" s="195"/>
      <c r="EF425" s="195"/>
      <c r="EG425" s="195"/>
      <c r="EH425" s="195"/>
      <c r="EI425" s="196">
        <f t="shared" si="21"/>
        <v>0</v>
      </c>
      <c r="EJ425" s="201">
        <f t="shared" si="22"/>
        <v>0</v>
      </c>
      <c r="EK425" s="202" t="e">
        <f t="shared" si="23"/>
        <v>#DIV/0!</v>
      </c>
      <c r="EL425" s="355"/>
      <c r="FA425" s="251">
        <f t="shared" si="25"/>
        <v>0</v>
      </c>
    </row>
    <row r="426" spans="1:157" s="89" customFormat="1" ht="20.149999999999999" customHeight="1" x14ac:dyDescent="0.35">
      <c r="A426" s="47"/>
      <c r="B426" s="47" t="s">
        <v>1144</v>
      </c>
      <c r="C426" s="47" t="s">
        <v>1431</v>
      </c>
      <c r="D426" s="47"/>
      <c r="E426" s="2" t="s">
        <v>1309</v>
      </c>
      <c r="F426" s="48" t="s">
        <v>1145</v>
      </c>
      <c r="G426" s="48" t="s">
        <v>713</v>
      </c>
      <c r="H426" s="57">
        <v>12</v>
      </c>
      <c r="I426" s="47"/>
      <c r="J426" s="47"/>
      <c r="K426" s="47"/>
      <c r="L426" s="47"/>
      <c r="M426" s="47"/>
      <c r="N426" s="194"/>
      <c r="O426" s="194"/>
      <c r="P426" s="194"/>
      <c r="Q426" s="194"/>
      <c r="R426" s="47"/>
      <c r="S426" s="194"/>
      <c r="T426" s="47"/>
      <c r="U426" s="194"/>
      <c r="V426" s="47"/>
      <c r="W426" s="194"/>
      <c r="X426" s="47"/>
      <c r="Y426" s="194"/>
      <c r="Z426" s="194"/>
      <c r="AA426" s="47"/>
      <c r="AB426" s="47"/>
      <c r="AC426" s="47"/>
      <c r="AD426" s="47"/>
      <c r="AE426" s="194"/>
      <c r="AF426" s="194"/>
      <c r="AG426" s="194"/>
      <c r="AH426" s="355"/>
      <c r="AI426" s="47"/>
      <c r="AJ426" s="198"/>
      <c r="AK426" s="47"/>
      <c r="AL426" s="47"/>
      <c r="AM426" s="47"/>
      <c r="AN426" s="47"/>
      <c r="AO426" s="47"/>
      <c r="AP426" s="194"/>
      <c r="AQ426" s="47"/>
      <c r="AR426" s="47"/>
      <c r="AS426" s="47"/>
      <c r="AT426" s="194"/>
      <c r="AU426" s="194"/>
      <c r="AV426" s="194"/>
      <c r="AW426" s="194"/>
      <c r="AX426" s="194"/>
      <c r="AY426" s="194"/>
      <c r="AZ426" s="194"/>
      <c r="BA426" s="194"/>
      <c r="BB426" s="194"/>
      <c r="BC426" s="194"/>
      <c r="BD426" s="194"/>
      <c r="BE426" s="194"/>
      <c r="BF426" s="194"/>
      <c r="BG426" s="194"/>
      <c r="BH426" s="194"/>
      <c r="BI426" s="194"/>
      <c r="BJ426" s="194"/>
      <c r="BK426" s="194"/>
      <c r="BL426" s="194"/>
      <c r="BM426" s="194"/>
      <c r="BN426" s="194"/>
      <c r="BO426" s="194"/>
      <c r="BP426" s="194"/>
      <c r="BQ426" s="47"/>
      <c r="BR426" s="194"/>
      <c r="BS426" s="47"/>
      <c r="BT426" s="47"/>
      <c r="BU426" s="47"/>
      <c r="BV426" s="47"/>
      <c r="BW426" s="47"/>
      <c r="BX426" s="194"/>
      <c r="BY426" s="194"/>
      <c r="BZ426" s="194"/>
      <c r="CA426" s="194"/>
      <c r="CB426" s="194"/>
      <c r="CC426" s="47"/>
      <c r="CD426" s="47"/>
      <c r="CE426" s="47"/>
      <c r="CF426" s="47"/>
      <c r="CG426" s="47">
        <v>18</v>
      </c>
      <c r="CH426" s="47"/>
      <c r="CI426" s="47"/>
      <c r="CJ426" s="47"/>
      <c r="CK426" s="47"/>
      <c r="CL426" s="194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194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198"/>
      <c r="DX426" s="47"/>
      <c r="DY426" s="194"/>
      <c r="DZ426" s="47"/>
      <c r="EA426" s="47"/>
      <c r="EB426" s="194"/>
      <c r="EC426" s="47"/>
      <c r="ED426" s="195"/>
      <c r="EE426" s="195"/>
      <c r="EF426" s="195"/>
      <c r="EG426" s="195"/>
      <c r="EH426" s="195">
        <v>7</v>
      </c>
      <c r="EI426" s="196">
        <f t="shared" si="21"/>
        <v>84</v>
      </c>
      <c r="EJ426" s="201">
        <f t="shared" si="22"/>
        <v>15.24</v>
      </c>
      <c r="EK426" s="202">
        <v>0</v>
      </c>
      <c r="EL426" s="355"/>
      <c r="FA426" s="251">
        <f t="shared" si="25"/>
        <v>12</v>
      </c>
    </row>
    <row r="427" spans="1:157" s="89" customFormat="1" ht="20.149999999999999" customHeight="1" x14ac:dyDescent="0.35">
      <c r="A427" s="47"/>
      <c r="B427" s="47" t="s">
        <v>1148</v>
      </c>
      <c r="C427" s="47" t="s">
        <v>1431</v>
      </c>
      <c r="D427" s="47"/>
      <c r="E427" s="2" t="s">
        <v>1147</v>
      </c>
      <c r="F427" s="48" t="s">
        <v>1145</v>
      </c>
      <c r="G427" s="48" t="s">
        <v>713</v>
      </c>
      <c r="H427" s="57"/>
      <c r="I427" s="47"/>
      <c r="J427" s="47"/>
      <c r="K427" s="47"/>
      <c r="L427" s="47"/>
      <c r="M427" s="47"/>
      <c r="N427" s="194"/>
      <c r="O427" s="194"/>
      <c r="P427" s="194"/>
      <c r="Q427" s="194"/>
      <c r="R427" s="47"/>
      <c r="S427" s="194"/>
      <c r="T427" s="47"/>
      <c r="U427" s="194"/>
      <c r="V427" s="47"/>
      <c r="W427" s="194"/>
      <c r="X427" s="47"/>
      <c r="Y427" s="194"/>
      <c r="Z427" s="194"/>
      <c r="AA427" s="47"/>
      <c r="AB427" s="47"/>
      <c r="AC427" s="47"/>
      <c r="AD427" s="47"/>
      <c r="AE427" s="194"/>
      <c r="AF427" s="194"/>
      <c r="AG427" s="194"/>
      <c r="AH427" s="355"/>
      <c r="AI427" s="47"/>
      <c r="AJ427" s="198"/>
      <c r="AK427" s="47"/>
      <c r="AL427" s="47"/>
      <c r="AM427" s="47"/>
      <c r="AN427" s="47"/>
      <c r="AO427" s="47"/>
      <c r="AP427" s="194"/>
      <c r="AQ427" s="47"/>
      <c r="AR427" s="47"/>
      <c r="AS427" s="47"/>
      <c r="AT427" s="194"/>
      <c r="AU427" s="194"/>
      <c r="AV427" s="194"/>
      <c r="AW427" s="194"/>
      <c r="AX427" s="194"/>
      <c r="AY427" s="194"/>
      <c r="AZ427" s="194"/>
      <c r="BA427" s="194"/>
      <c r="BB427" s="194"/>
      <c r="BC427" s="194"/>
      <c r="BD427" s="194"/>
      <c r="BE427" s="194"/>
      <c r="BF427" s="194"/>
      <c r="BG427" s="194"/>
      <c r="BH427" s="194"/>
      <c r="BI427" s="194"/>
      <c r="BJ427" s="194"/>
      <c r="BK427" s="194"/>
      <c r="BL427" s="194"/>
      <c r="BM427" s="194"/>
      <c r="BN427" s="194"/>
      <c r="BO427" s="194"/>
      <c r="BP427" s="194"/>
      <c r="BQ427" s="47"/>
      <c r="BR427" s="194"/>
      <c r="BS427" s="47"/>
      <c r="BT427" s="47"/>
      <c r="BU427" s="47"/>
      <c r="BV427" s="47"/>
      <c r="BW427" s="47"/>
      <c r="BX427" s="194"/>
      <c r="BY427" s="194"/>
      <c r="BZ427" s="194"/>
      <c r="CA427" s="194"/>
      <c r="CB427" s="194"/>
      <c r="CC427" s="47"/>
      <c r="CD427" s="47"/>
      <c r="CE427" s="47"/>
      <c r="CF427" s="47"/>
      <c r="CG427" s="47"/>
      <c r="CH427" s="47"/>
      <c r="CI427" s="47"/>
      <c r="CJ427" s="47"/>
      <c r="CK427" s="47"/>
      <c r="CL427" s="194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194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198"/>
      <c r="DX427" s="47"/>
      <c r="DY427" s="194"/>
      <c r="DZ427" s="47"/>
      <c r="EA427" s="47"/>
      <c r="EB427" s="194"/>
      <c r="EC427" s="47"/>
      <c r="ED427" s="195"/>
      <c r="EE427" s="195"/>
      <c r="EF427" s="195"/>
      <c r="EG427" s="195"/>
      <c r="EH427" s="195">
        <v>5</v>
      </c>
      <c r="EI427" s="196">
        <f>H427*EH427</f>
        <v>0</v>
      </c>
      <c r="EJ427" s="201">
        <f t="shared" si="22"/>
        <v>0</v>
      </c>
      <c r="EK427" s="202">
        <v>0</v>
      </c>
      <c r="EL427" s="355"/>
      <c r="FA427" s="251">
        <f t="shared" si="25"/>
        <v>0</v>
      </c>
    </row>
    <row r="428" spans="1:157" s="89" customFormat="1" ht="20.149999999999999" customHeight="1" x14ac:dyDescent="0.35">
      <c r="A428" s="47"/>
      <c r="B428" s="47" t="s">
        <v>1149</v>
      </c>
      <c r="C428" s="47" t="s">
        <v>1431</v>
      </c>
      <c r="D428" s="47"/>
      <c r="E428" s="2" t="s">
        <v>329</v>
      </c>
      <c r="F428" s="48" t="s">
        <v>1150</v>
      </c>
      <c r="G428" s="48" t="s">
        <v>713</v>
      </c>
      <c r="H428" s="57" t="e">
        <f>AVERAGE(I428:BC428)</f>
        <v>#DIV/0!</v>
      </c>
      <c r="I428" s="47"/>
      <c r="J428" s="47"/>
      <c r="K428" s="47"/>
      <c r="L428" s="47"/>
      <c r="M428" s="47"/>
      <c r="N428" s="194"/>
      <c r="O428" s="194"/>
      <c r="P428" s="194"/>
      <c r="Q428" s="194"/>
      <c r="R428" s="47"/>
      <c r="S428" s="194"/>
      <c r="T428" s="47"/>
      <c r="U428" s="194"/>
      <c r="V428" s="47"/>
      <c r="W428" s="194"/>
      <c r="X428" s="47"/>
      <c r="Y428" s="194"/>
      <c r="Z428" s="194"/>
      <c r="AA428" s="47"/>
      <c r="AB428" s="47"/>
      <c r="AC428" s="47"/>
      <c r="AD428" s="47"/>
      <c r="AE428" s="194"/>
      <c r="AF428" s="194"/>
      <c r="AG428" s="194"/>
      <c r="AH428" s="355"/>
      <c r="AI428" s="47"/>
      <c r="AJ428" s="198"/>
      <c r="AK428" s="47"/>
      <c r="AL428" s="47"/>
      <c r="AM428" s="47"/>
      <c r="AN428" s="47"/>
      <c r="AO428" s="47"/>
      <c r="AP428" s="194"/>
      <c r="AQ428" s="47"/>
      <c r="AR428" s="47"/>
      <c r="AS428" s="47"/>
      <c r="AT428" s="194"/>
      <c r="AU428" s="194"/>
      <c r="AV428" s="194"/>
      <c r="AW428" s="194"/>
      <c r="AX428" s="194"/>
      <c r="AY428" s="194"/>
      <c r="AZ428" s="194"/>
      <c r="BA428" s="194"/>
      <c r="BB428" s="194"/>
      <c r="BC428" s="194"/>
      <c r="BD428" s="194"/>
      <c r="BE428" s="194"/>
      <c r="BF428" s="194"/>
      <c r="BG428" s="194"/>
      <c r="BH428" s="194"/>
      <c r="BI428" s="194"/>
      <c r="BJ428" s="194"/>
      <c r="BK428" s="194"/>
      <c r="BL428" s="194"/>
      <c r="BM428" s="194"/>
      <c r="BN428" s="194"/>
      <c r="BO428" s="194"/>
      <c r="BP428" s="194"/>
      <c r="BQ428" s="47"/>
      <c r="BR428" s="194"/>
      <c r="BS428" s="47"/>
      <c r="BT428" s="47"/>
      <c r="BU428" s="47"/>
      <c r="BV428" s="47"/>
      <c r="BW428" s="47"/>
      <c r="BX428" s="194"/>
      <c r="BY428" s="194"/>
      <c r="BZ428" s="194"/>
      <c r="CA428" s="194"/>
      <c r="CB428" s="194"/>
      <c r="CC428" s="47"/>
      <c r="CD428" s="47"/>
      <c r="CE428" s="47"/>
      <c r="CF428" s="47"/>
      <c r="CG428" s="47"/>
      <c r="CH428" s="47"/>
      <c r="CI428" s="47"/>
      <c r="CJ428" s="47"/>
      <c r="CK428" s="47"/>
      <c r="CL428" s="194"/>
      <c r="CM428" s="47"/>
      <c r="CN428" s="47"/>
      <c r="CO428" s="47"/>
      <c r="CP428" s="47">
        <v>24</v>
      </c>
      <c r="CQ428" s="47"/>
      <c r="CR428" s="47"/>
      <c r="CS428" s="47"/>
      <c r="CT428" s="47"/>
      <c r="CU428" s="47"/>
      <c r="CV428" s="47"/>
      <c r="CW428" s="47"/>
      <c r="CX428" s="194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198"/>
      <c r="DX428" s="47"/>
      <c r="DY428" s="194"/>
      <c r="DZ428" s="47"/>
      <c r="EA428" s="47"/>
      <c r="EB428" s="194"/>
      <c r="EC428" s="47"/>
      <c r="ED428" s="195"/>
      <c r="EE428" s="195"/>
      <c r="EF428" s="195"/>
      <c r="EG428" s="195"/>
      <c r="EH428" s="195">
        <v>0</v>
      </c>
      <c r="EI428" s="196"/>
      <c r="EJ428" s="201" t="e">
        <f t="shared" si="22"/>
        <v>#DIV/0!</v>
      </c>
      <c r="EK428" s="202">
        <v>0</v>
      </c>
      <c r="EL428" s="355"/>
      <c r="FA428" s="251" t="e">
        <f t="shared" si="25"/>
        <v>#DIV/0!</v>
      </c>
    </row>
    <row r="429" spans="1:157" s="89" customFormat="1" ht="20.149999999999999" customHeight="1" x14ac:dyDescent="0.35">
      <c r="A429" s="47"/>
      <c r="B429" s="47" t="s">
        <v>1332</v>
      </c>
      <c r="C429" s="47" t="s">
        <v>1482</v>
      </c>
      <c r="D429" s="2" t="s">
        <v>638</v>
      </c>
      <c r="E429" s="2" t="s">
        <v>1483</v>
      </c>
      <c r="F429" s="40" t="s">
        <v>1484</v>
      </c>
      <c r="G429" s="48" t="s">
        <v>34</v>
      </c>
      <c r="H429" s="329">
        <v>26.4</v>
      </c>
      <c r="I429" s="47"/>
      <c r="J429" s="47"/>
      <c r="K429" s="47"/>
      <c r="L429" s="47"/>
      <c r="M429" s="47"/>
      <c r="N429" s="194"/>
      <c r="O429" s="194"/>
      <c r="P429" s="194"/>
      <c r="Q429" s="194"/>
      <c r="R429" s="47"/>
      <c r="S429" s="194"/>
      <c r="T429" s="47"/>
      <c r="U429" s="194"/>
      <c r="V429" s="47"/>
      <c r="W429" s="194"/>
      <c r="X429" s="47"/>
      <c r="Y429" s="194"/>
      <c r="Z429" s="194"/>
      <c r="AA429" s="47"/>
      <c r="AB429" s="47"/>
      <c r="AC429" s="47"/>
      <c r="AD429" s="47"/>
      <c r="AE429" s="194"/>
      <c r="AF429" s="194"/>
      <c r="AG429" s="194"/>
      <c r="AH429" s="355"/>
      <c r="AI429" s="47"/>
      <c r="AJ429" s="198"/>
      <c r="AK429" s="47"/>
      <c r="AL429" s="47"/>
      <c r="AM429" s="47"/>
      <c r="AN429" s="47"/>
      <c r="AO429" s="47"/>
      <c r="AP429" s="194"/>
      <c r="AQ429" s="47"/>
      <c r="AR429" s="47"/>
      <c r="AS429" s="47"/>
      <c r="AT429" s="194"/>
      <c r="AU429" s="194"/>
      <c r="AV429" s="194"/>
      <c r="AW429" s="194"/>
      <c r="AX429" s="194"/>
      <c r="AY429" s="194"/>
      <c r="AZ429" s="194"/>
      <c r="BA429" s="194"/>
      <c r="BB429" s="194"/>
      <c r="BC429" s="194"/>
      <c r="BD429" s="194"/>
      <c r="BE429" s="194"/>
      <c r="BF429" s="194"/>
      <c r="BG429" s="194"/>
      <c r="BH429" s="194"/>
      <c r="BI429" s="194"/>
      <c r="BJ429" s="194"/>
      <c r="BK429" s="194"/>
      <c r="BL429" s="194"/>
      <c r="BM429" s="194"/>
      <c r="BN429" s="194"/>
      <c r="BO429" s="194"/>
      <c r="BP429" s="194"/>
      <c r="BQ429" s="47"/>
      <c r="BR429" s="194"/>
      <c r="BS429" s="47"/>
      <c r="BT429" s="47"/>
      <c r="BU429" s="47"/>
      <c r="BV429" s="47"/>
      <c r="BW429" s="47"/>
      <c r="BX429" s="194"/>
      <c r="BY429" s="194"/>
      <c r="BZ429" s="194"/>
      <c r="CA429" s="194"/>
      <c r="CB429" s="194"/>
      <c r="CC429" s="47"/>
      <c r="CD429" s="47"/>
      <c r="CE429" s="47"/>
      <c r="CF429" s="47"/>
      <c r="CG429" s="47">
        <v>28</v>
      </c>
      <c r="CH429" s="47"/>
      <c r="CI429" s="47"/>
      <c r="CJ429" s="47"/>
      <c r="CK429" s="47"/>
      <c r="CL429" s="194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>
        <v>50</v>
      </c>
      <c r="CW429" s="47"/>
      <c r="CX429" s="194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198"/>
      <c r="DX429" s="47"/>
      <c r="DY429" s="194"/>
      <c r="DZ429" s="47"/>
      <c r="EA429" s="47"/>
      <c r="EB429" s="194"/>
      <c r="EC429" s="47"/>
      <c r="ED429" s="195"/>
      <c r="EE429" s="195"/>
      <c r="EF429" s="195"/>
      <c r="EG429" s="195"/>
      <c r="EH429" s="195"/>
      <c r="EI429" s="196"/>
      <c r="EJ429" s="201"/>
      <c r="EK429" s="202"/>
      <c r="EL429" s="355"/>
      <c r="FA429" s="251">
        <f t="shared" si="25"/>
        <v>26.4</v>
      </c>
    </row>
    <row r="430" spans="1:157" s="89" customFormat="1" ht="20.149999999999999" customHeight="1" x14ac:dyDescent="0.35">
      <c r="A430" s="47"/>
      <c r="B430" s="47" t="s">
        <v>1752</v>
      </c>
      <c r="C430" s="47" t="s">
        <v>1482</v>
      </c>
      <c r="D430" s="2" t="s">
        <v>638</v>
      </c>
      <c r="E430" s="2" t="s">
        <v>1483</v>
      </c>
      <c r="F430" s="40" t="s">
        <v>1753</v>
      </c>
      <c r="G430" s="48" t="s">
        <v>713</v>
      </c>
      <c r="H430" s="329">
        <v>2.2000000000000002</v>
      </c>
      <c r="I430" s="47"/>
      <c r="J430" s="47"/>
      <c r="K430" s="47"/>
      <c r="L430" s="47"/>
      <c r="M430" s="47"/>
      <c r="N430" s="194"/>
      <c r="O430" s="194"/>
      <c r="P430" s="194"/>
      <c r="Q430" s="194"/>
      <c r="R430" s="47"/>
      <c r="S430" s="194"/>
      <c r="T430" s="47"/>
      <c r="U430" s="194"/>
      <c r="V430" s="47"/>
      <c r="W430" s="194"/>
      <c r="X430" s="47"/>
      <c r="Y430" s="194"/>
      <c r="Z430" s="194"/>
      <c r="AA430" s="47"/>
      <c r="AB430" s="47"/>
      <c r="AC430" s="47"/>
      <c r="AD430" s="47"/>
      <c r="AE430" s="194"/>
      <c r="AF430" s="194"/>
      <c r="AG430" s="194"/>
      <c r="AH430" s="355"/>
      <c r="AI430" s="47"/>
      <c r="AJ430" s="198"/>
      <c r="AK430" s="47"/>
      <c r="AL430" s="47"/>
      <c r="AM430" s="47"/>
      <c r="AN430" s="47"/>
      <c r="AO430" s="47"/>
      <c r="AP430" s="194"/>
      <c r="AQ430" s="47"/>
      <c r="AR430" s="47"/>
      <c r="AS430" s="47"/>
      <c r="AT430" s="194"/>
      <c r="AU430" s="194"/>
      <c r="AV430" s="194"/>
      <c r="AW430" s="194"/>
      <c r="AX430" s="194"/>
      <c r="AY430" s="194"/>
      <c r="AZ430" s="194"/>
      <c r="BA430" s="194"/>
      <c r="BB430" s="194"/>
      <c r="BC430" s="194"/>
      <c r="BD430" s="194"/>
      <c r="BE430" s="194"/>
      <c r="BF430" s="194"/>
      <c r="BG430" s="194"/>
      <c r="BH430" s="194"/>
      <c r="BI430" s="194"/>
      <c r="BJ430" s="194"/>
      <c r="BK430" s="194"/>
      <c r="BL430" s="194"/>
      <c r="BM430" s="194"/>
      <c r="BN430" s="194"/>
      <c r="BO430" s="194"/>
      <c r="BP430" s="194"/>
      <c r="BQ430" s="47"/>
      <c r="BR430" s="194"/>
      <c r="BS430" s="47"/>
      <c r="BT430" s="47"/>
      <c r="BU430" s="47"/>
      <c r="BV430" s="47"/>
      <c r="BW430" s="47"/>
      <c r="BX430" s="194">
        <v>3</v>
      </c>
      <c r="BY430" s="194"/>
      <c r="BZ430" s="194"/>
      <c r="CA430" s="194"/>
      <c r="CB430" s="194"/>
      <c r="CC430" s="47"/>
      <c r="CD430" s="47"/>
      <c r="CE430" s="47"/>
      <c r="CF430" s="47"/>
      <c r="CG430" s="47"/>
      <c r="CH430" s="47"/>
      <c r="CI430" s="47"/>
      <c r="CJ430" s="47"/>
      <c r="CK430" s="47"/>
      <c r="CL430" s="194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194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198"/>
      <c r="DX430" s="47"/>
      <c r="DY430" s="194"/>
      <c r="DZ430" s="47"/>
      <c r="EA430" s="47"/>
      <c r="EB430" s="194"/>
      <c r="EC430" s="47"/>
      <c r="ED430" s="195"/>
      <c r="EE430" s="195"/>
      <c r="EF430" s="195"/>
      <c r="EG430" s="195"/>
      <c r="EH430" s="195"/>
      <c r="EI430" s="196"/>
      <c r="EJ430" s="201"/>
      <c r="EK430" s="202"/>
      <c r="EL430" s="355"/>
      <c r="FA430" s="251">
        <f t="shared" si="25"/>
        <v>2.2000000000000002</v>
      </c>
    </row>
    <row r="431" spans="1:157" s="89" customFormat="1" ht="20.149999999999999" customHeight="1" x14ac:dyDescent="0.35">
      <c r="A431" s="47"/>
      <c r="B431" s="373" t="s">
        <v>1545</v>
      </c>
      <c r="C431" s="373" t="s">
        <v>1546</v>
      </c>
      <c r="D431" s="374" t="s">
        <v>638</v>
      </c>
      <c r="E431" s="374" t="s">
        <v>1547</v>
      </c>
      <c r="F431" s="377" t="s">
        <v>720</v>
      </c>
      <c r="G431" s="378" t="s">
        <v>38</v>
      </c>
      <c r="H431" s="329">
        <v>35</v>
      </c>
      <c r="I431" s="47"/>
      <c r="J431" s="47"/>
      <c r="K431" s="47"/>
      <c r="L431" s="47"/>
      <c r="M431" s="47"/>
      <c r="N431" s="194"/>
      <c r="O431" s="194"/>
      <c r="P431" s="194"/>
      <c r="Q431" s="194"/>
      <c r="R431" s="47"/>
      <c r="S431" s="194"/>
      <c r="T431" s="47"/>
      <c r="U431" s="194"/>
      <c r="V431" s="47"/>
      <c r="W431" s="194"/>
      <c r="X431" s="47"/>
      <c r="Y431" s="194"/>
      <c r="Z431" s="194"/>
      <c r="AA431" s="47"/>
      <c r="AB431" s="47"/>
      <c r="AC431" s="47"/>
      <c r="AD431" s="47"/>
      <c r="AE431" s="194"/>
      <c r="AF431" s="194"/>
      <c r="AG431" s="194"/>
      <c r="AH431" s="355"/>
      <c r="AI431" s="47"/>
      <c r="AJ431" s="198"/>
      <c r="AK431" s="47"/>
      <c r="AL431" s="47"/>
      <c r="AM431" s="47"/>
      <c r="AN431" s="47"/>
      <c r="AO431" s="47"/>
      <c r="AP431" s="194"/>
      <c r="AQ431" s="47"/>
      <c r="AR431" s="47"/>
      <c r="AS431" s="47"/>
      <c r="AT431" s="194"/>
      <c r="AU431" s="194"/>
      <c r="AV431" s="194"/>
      <c r="AW431" s="194"/>
      <c r="AX431" s="194"/>
      <c r="AY431" s="194"/>
      <c r="AZ431" s="194"/>
      <c r="BA431" s="194"/>
      <c r="BB431" s="194"/>
      <c r="BC431" s="194"/>
      <c r="BD431" s="194"/>
      <c r="BE431" s="194"/>
      <c r="BF431" s="194"/>
      <c r="BG431" s="194"/>
      <c r="BH431" s="194"/>
      <c r="BI431" s="194"/>
      <c r="BJ431" s="194"/>
      <c r="BK431" s="194"/>
      <c r="BL431" s="194"/>
      <c r="BM431" s="194"/>
      <c r="BN431" s="194"/>
      <c r="BO431" s="194"/>
      <c r="BP431" s="194"/>
      <c r="BQ431" s="47"/>
      <c r="BR431" s="194"/>
      <c r="BS431" s="47"/>
      <c r="BT431" s="47"/>
      <c r="BU431" s="47"/>
      <c r="BV431" s="47"/>
      <c r="BW431" s="47"/>
      <c r="BX431" s="194"/>
      <c r="BY431" s="194"/>
      <c r="BZ431" s="194"/>
      <c r="CA431" s="194"/>
      <c r="CB431" s="194"/>
      <c r="CC431" s="47"/>
      <c r="CD431" s="47"/>
      <c r="CE431" s="47"/>
      <c r="CF431" s="47"/>
      <c r="CG431" s="47"/>
      <c r="CH431" s="47"/>
      <c r="CI431" s="47"/>
      <c r="CJ431" s="47"/>
      <c r="CK431" s="47"/>
      <c r="CL431" s="194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194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198"/>
      <c r="DX431" s="47"/>
      <c r="DY431" s="194"/>
      <c r="DZ431" s="47"/>
      <c r="EA431" s="47"/>
      <c r="EB431" s="194"/>
      <c r="EC431" s="47"/>
      <c r="ED431" s="195"/>
      <c r="EE431" s="195"/>
      <c r="EF431" s="195"/>
      <c r="EG431" s="195"/>
      <c r="EH431" s="195"/>
      <c r="EI431" s="196"/>
      <c r="EJ431" s="201"/>
      <c r="EK431" s="202"/>
      <c r="EL431" s="355"/>
      <c r="FA431" s="251"/>
    </row>
    <row r="432" spans="1:157" s="1" customFormat="1" ht="19" customHeight="1" x14ac:dyDescent="0.35">
      <c r="A432" s="137"/>
      <c r="B432" s="373" t="s">
        <v>860</v>
      </c>
      <c r="C432" s="373" t="s">
        <v>1548</v>
      </c>
      <c r="D432" s="374" t="s">
        <v>638</v>
      </c>
      <c r="E432" s="379" t="s">
        <v>59</v>
      </c>
      <c r="F432" s="374" t="s">
        <v>736</v>
      </c>
      <c r="G432" s="374" t="s">
        <v>570</v>
      </c>
      <c r="H432" s="330">
        <v>7.7</v>
      </c>
      <c r="I432" s="197"/>
      <c r="J432" s="197"/>
      <c r="K432" s="197"/>
      <c r="L432" s="197"/>
      <c r="M432" s="197"/>
      <c r="N432" s="194"/>
      <c r="O432" s="197"/>
      <c r="P432" s="197"/>
      <c r="Q432" s="197"/>
      <c r="R432" s="197"/>
      <c r="S432" s="197"/>
      <c r="T432" s="197"/>
      <c r="U432" s="197"/>
      <c r="V432" s="168"/>
      <c r="W432" s="197"/>
      <c r="X432" s="197"/>
      <c r="Y432" s="197"/>
      <c r="Z432" s="197"/>
      <c r="AA432" s="197"/>
      <c r="AB432" s="197"/>
      <c r="AC432" s="197"/>
      <c r="AD432" s="197"/>
      <c r="AE432" s="197"/>
      <c r="AF432" s="194"/>
      <c r="AG432" s="194"/>
      <c r="AH432" s="5"/>
      <c r="AI432" s="194"/>
      <c r="AJ432" s="194"/>
      <c r="AK432" s="47"/>
      <c r="AL432" s="47"/>
      <c r="AM432" s="47"/>
      <c r="AN432" s="47"/>
      <c r="AO432" s="47"/>
      <c r="AP432" s="197"/>
      <c r="AQ432" s="197"/>
      <c r="AR432" s="197"/>
      <c r="AS432" s="197"/>
      <c r="AT432" s="197"/>
      <c r="AU432" s="197"/>
      <c r="AV432" s="197"/>
      <c r="AW432" s="197"/>
      <c r="AX432" s="197"/>
      <c r="AY432" s="197"/>
      <c r="AZ432" s="197"/>
      <c r="BA432" s="197"/>
      <c r="BB432" s="197"/>
      <c r="BC432" s="19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>
        <v>0</v>
      </c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>
        <v>5.2</v>
      </c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223">
        <v>6</v>
      </c>
      <c r="DX432" s="47"/>
      <c r="DY432" s="47"/>
      <c r="DZ432" s="198">
        <v>6</v>
      </c>
      <c r="EA432" s="196">
        <f>DZ432+0.5</f>
        <v>6.5</v>
      </c>
      <c r="EB432" s="47"/>
      <c r="EC432" s="47"/>
      <c r="ED432" s="195"/>
      <c r="EE432" s="195"/>
      <c r="EF432" s="195"/>
      <c r="EG432" s="195"/>
      <c r="EH432" s="195"/>
      <c r="EI432" s="196">
        <f t="shared" si="21"/>
        <v>0</v>
      </c>
      <c r="EJ432" s="201">
        <f t="shared" si="22"/>
        <v>9.7789999999999999</v>
      </c>
      <c r="EK432" s="202">
        <v>6</v>
      </c>
      <c r="EL432" s="5"/>
      <c r="FA432" s="251"/>
    </row>
    <row r="433" spans="1:157" s="1" customFormat="1" ht="20.149999999999999" customHeight="1" x14ac:dyDescent="0.35">
      <c r="A433" s="137"/>
      <c r="B433" s="47" t="s">
        <v>1126</v>
      </c>
      <c r="C433" s="47" t="s">
        <v>1549</v>
      </c>
      <c r="D433" s="2" t="s">
        <v>638</v>
      </c>
      <c r="E433" s="376" t="s">
        <v>59</v>
      </c>
      <c r="F433" s="2" t="s">
        <v>736</v>
      </c>
      <c r="G433" s="2" t="s">
        <v>570</v>
      </c>
      <c r="H433" s="57"/>
      <c r="I433" s="197"/>
      <c r="J433" s="197"/>
      <c r="K433" s="197"/>
      <c r="L433" s="197"/>
      <c r="M433" s="197"/>
      <c r="N433" s="194"/>
      <c r="O433" s="197"/>
      <c r="P433" s="197"/>
      <c r="Q433" s="197"/>
      <c r="R433" s="197"/>
      <c r="S433" s="197"/>
      <c r="T433" s="197"/>
      <c r="U433" s="197"/>
      <c r="V433" s="168"/>
      <c r="W433" s="197"/>
      <c r="X433" s="197"/>
      <c r="Y433" s="197"/>
      <c r="Z433" s="197"/>
      <c r="AA433" s="197"/>
      <c r="AB433" s="197"/>
      <c r="AC433" s="197"/>
      <c r="AD433" s="197"/>
      <c r="AE433" s="197"/>
      <c r="AF433" s="194"/>
      <c r="AG433" s="194"/>
      <c r="AH433" s="5"/>
      <c r="AI433" s="194"/>
      <c r="AJ433" s="194"/>
      <c r="AK433" s="47"/>
      <c r="AL433" s="47"/>
      <c r="AM433" s="47"/>
      <c r="AN433" s="47"/>
      <c r="AO433" s="47"/>
      <c r="AP433" s="197"/>
      <c r="AQ433" s="197"/>
      <c r="AR433" s="197"/>
      <c r="AS433" s="197"/>
      <c r="AT433" s="197"/>
      <c r="AU433" s="197"/>
      <c r="AV433" s="197"/>
      <c r="AW433" s="197"/>
      <c r="AX433" s="197"/>
      <c r="AY433" s="197"/>
      <c r="AZ433" s="197"/>
      <c r="BA433" s="197"/>
      <c r="BB433" s="197"/>
      <c r="BC433" s="19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>
        <v>8</v>
      </c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223">
        <v>8</v>
      </c>
      <c r="DX433" s="47"/>
      <c r="DY433" s="47"/>
      <c r="DZ433" s="198">
        <v>8</v>
      </c>
      <c r="EA433" s="196">
        <f t="shared" ref="EA433:EA443" si="26">DZ433+0.5</f>
        <v>8.5</v>
      </c>
      <c r="EB433" s="47"/>
      <c r="EC433" s="47"/>
      <c r="ED433" s="195"/>
      <c r="EE433" s="195"/>
      <c r="EF433" s="195"/>
      <c r="EG433" s="195"/>
      <c r="EH433" s="195"/>
      <c r="EI433" s="196">
        <f t="shared" si="21"/>
        <v>0</v>
      </c>
      <c r="EJ433" s="201">
        <f t="shared" si="22"/>
        <v>0</v>
      </c>
      <c r="EK433" s="202">
        <v>8</v>
      </c>
      <c r="EL433" s="5"/>
      <c r="FA433" s="251"/>
    </row>
    <row r="434" spans="1:157" s="1" customFormat="1" ht="20.149999999999999" customHeight="1" x14ac:dyDescent="0.35">
      <c r="A434" s="137"/>
      <c r="B434" s="47" t="s">
        <v>1127</v>
      </c>
      <c r="C434" s="47" t="s">
        <v>1550</v>
      </c>
      <c r="D434" s="2" t="s">
        <v>638</v>
      </c>
      <c r="E434" s="376" t="s">
        <v>59</v>
      </c>
      <c r="F434" s="2" t="s">
        <v>736</v>
      </c>
      <c r="G434" s="2" t="s">
        <v>570</v>
      </c>
      <c r="H434" s="57"/>
      <c r="I434" s="197"/>
      <c r="J434" s="197"/>
      <c r="K434" s="197"/>
      <c r="L434" s="197"/>
      <c r="M434" s="197"/>
      <c r="N434" s="194"/>
      <c r="O434" s="197"/>
      <c r="P434" s="197"/>
      <c r="Q434" s="197"/>
      <c r="R434" s="197"/>
      <c r="S434" s="197"/>
      <c r="T434" s="197"/>
      <c r="U434" s="197"/>
      <c r="V434" s="168"/>
      <c r="W434" s="197"/>
      <c r="X434" s="197"/>
      <c r="Y434" s="197"/>
      <c r="Z434" s="197"/>
      <c r="AA434" s="197"/>
      <c r="AB434" s="197"/>
      <c r="AC434" s="197"/>
      <c r="AD434" s="197"/>
      <c r="AE434" s="197"/>
      <c r="AF434" s="194"/>
      <c r="AG434" s="194"/>
      <c r="AH434" s="5"/>
      <c r="AI434" s="194"/>
      <c r="AJ434" s="194"/>
      <c r="AK434" s="47"/>
      <c r="AL434" s="47"/>
      <c r="AM434" s="47"/>
      <c r="AN434" s="47"/>
      <c r="AO434" s="47"/>
      <c r="AP434" s="197"/>
      <c r="AQ434" s="197"/>
      <c r="AR434" s="197"/>
      <c r="AS434" s="197"/>
      <c r="AT434" s="197"/>
      <c r="AU434" s="197"/>
      <c r="AV434" s="197"/>
      <c r="AW434" s="197"/>
      <c r="AX434" s="197"/>
      <c r="AY434" s="197"/>
      <c r="AZ434" s="197"/>
      <c r="BA434" s="197"/>
      <c r="BB434" s="197"/>
      <c r="BC434" s="19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>
        <v>8</v>
      </c>
      <c r="CM434" s="47"/>
      <c r="CN434" s="47"/>
      <c r="CO434" s="47"/>
      <c r="CP434" s="47">
        <v>10</v>
      </c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>
        <v>8</v>
      </c>
      <c r="DV434" s="47"/>
      <c r="DW434" s="223">
        <v>8</v>
      </c>
      <c r="DX434" s="47"/>
      <c r="DY434" s="47"/>
      <c r="DZ434" s="198">
        <v>10</v>
      </c>
      <c r="EA434" s="196">
        <f t="shared" si="26"/>
        <v>10.5</v>
      </c>
      <c r="EB434" s="47"/>
      <c r="EC434" s="47"/>
      <c r="ED434" s="195"/>
      <c r="EE434" s="195">
        <v>8</v>
      </c>
      <c r="EF434" s="195"/>
      <c r="EG434" s="195"/>
      <c r="EH434" s="195"/>
      <c r="EI434" s="196">
        <f t="shared" si="21"/>
        <v>0</v>
      </c>
      <c r="EJ434" s="201">
        <f t="shared" si="22"/>
        <v>0</v>
      </c>
      <c r="EK434" s="202">
        <v>9</v>
      </c>
      <c r="EL434" s="5"/>
      <c r="FA434" s="251"/>
    </row>
    <row r="435" spans="1:157" s="1" customFormat="1" ht="20.149999999999999" customHeight="1" x14ac:dyDescent="0.35">
      <c r="A435" s="137"/>
      <c r="B435" s="47" t="s">
        <v>1128</v>
      </c>
      <c r="C435" s="47" t="s">
        <v>1551</v>
      </c>
      <c r="D435" s="2" t="s">
        <v>638</v>
      </c>
      <c r="E435" s="376" t="s">
        <v>59</v>
      </c>
      <c r="F435" s="2" t="s">
        <v>736</v>
      </c>
      <c r="G435" s="2" t="s">
        <v>570</v>
      </c>
      <c r="H435" s="57"/>
      <c r="I435" s="197"/>
      <c r="J435" s="197"/>
      <c r="K435" s="197"/>
      <c r="L435" s="197"/>
      <c r="M435" s="197"/>
      <c r="N435" s="194"/>
      <c r="O435" s="197"/>
      <c r="P435" s="197"/>
      <c r="Q435" s="197"/>
      <c r="R435" s="197"/>
      <c r="S435" s="197"/>
      <c r="T435" s="197"/>
      <c r="U435" s="197"/>
      <c r="V435" s="168"/>
      <c r="W435" s="197"/>
      <c r="X435" s="197"/>
      <c r="Y435" s="197"/>
      <c r="Z435" s="197"/>
      <c r="AA435" s="197"/>
      <c r="AB435" s="197"/>
      <c r="AC435" s="197"/>
      <c r="AD435" s="197"/>
      <c r="AE435" s="197"/>
      <c r="AF435" s="194"/>
      <c r="AG435" s="194"/>
      <c r="AH435" s="5"/>
      <c r="AI435" s="194"/>
      <c r="AJ435" s="194"/>
      <c r="AK435" s="47"/>
      <c r="AL435" s="47"/>
      <c r="AM435" s="47"/>
      <c r="AN435" s="47"/>
      <c r="AO435" s="47"/>
      <c r="AP435" s="197"/>
      <c r="AQ435" s="197"/>
      <c r="AR435" s="197"/>
      <c r="AS435" s="197"/>
      <c r="AT435" s="197"/>
      <c r="AU435" s="197"/>
      <c r="AV435" s="197"/>
      <c r="AW435" s="197"/>
      <c r="AX435" s="197"/>
      <c r="AY435" s="197"/>
      <c r="AZ435" s="197"/>
      <c r="BA435" s="197"/>
      <c r="BB435" s="197"/>
      <c r="BC435" s="19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>
        <v>15</v>
      </c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>
        <v>13.5</v>
      </c>
      <c r="DV435" s="47"/>
      <c r="DW435" s="223">
        <v>15</v>
      </c>
      <c r="DX435" s="47"/>
      <c r="DY435" s="47"/>
      <c r="DZ435" s="198">
        <v>15</v>
      </c>
      <c r="EA435" s="196">
        <f t="shared" si="26"/>
        <v>15.5</v>
      </c>
      <c r="EB435" s="47"/>
      <c r="EC435" s="47"/>
      <c r="ED435" s="195"/>
      <c r="EE435" s="195">
        <v>13.5</v>
      </c>
      <c r="EF435" s="195"/>
      <c r="EG435" s="195"/>
      <c r="EH435" s="195"/>
      <c r="EI435" s="196">
        <f t="shared" si="21"/>
        <v>0</v>
      </c>
      <c r="EJ435" s="201">
        <f t="shared" si="22"/>
        <v>0</v>
      </c>
      <c r="EK435" s="202">
        <v>15</v>
      </c>
      <c r="EL435" s="5"/>
      <c r="FA435" s="251"/>
    </row>
    <row r="436" spans="1:157" s="1" customFormat="1" ht="20.149999999999999" customHeight="1" x14ac:dyDescent="0.35">
      <c r="A436" s="137"/>
      <c r="B436" s="47" t="s">
        <v>1129</v>
      </c>
      <c r="C436" s="47" t="s">
        <v>1552</v>
      </c>
      <c r="D436" s="2" t="s">
        <v>638</v>
      </c>
      <c r="E436" s="376" t="s">
        <v>59</v>
      </c>
      <c r="F436" s="2" t="s">
        <v>736</v>
      </c>
      <c r="G436" s="2" t="s">
        <v>570</v>
      </c>
      <c r="H436" s="57"/>
      <c r="I436" s="197"/>
      <c r="J436" s="197"/>
      <c r="K436" s="197"/>
      <c r="L436" s="197"/>
      <c r="M436" s="197"/>
      <c r="N436" s="194"/>
      <c r="O436" s="197"/>
      <c r="P436" s="197"/>
      <c r="Q436" s="197"/>
      <c r="R436" s="197"/>
      <c r="S436" s="197"/>
      <c r="T436" s="197"/>
      <c r="U436" s="197"/>
      <c r="V436" s="168"/>
      <c r="W436" s="197"/>
      <c r="X436" s="197"/>
      <c r="Y436" s="197"/>
      <c r="Z436" s="197"/>
      <c r="AA436" s="197"/>
      <c r="AB436" s="197"/>
      <c r="AC436" s="197"/>
      <c r="AD436" s="197"/>
      <c r="AE436" s="197"/>
      <c r="AF436" s="194"/>
      <c r="AG436" s="194"/>
      <c r="AH436" s="5"/>
      <c r="AI436" s="194"/>
      <c r="AJ436" s="194"/>
      <c r="AK436" s="47"/>
      <c r="AL436" s="47"/>
      <c r="AM436" s="47"/>
      <c r="AN436" s="47"/>
      <c r="AO436" s="47"/>
      <c r="AP436" s="197"/>
      <c r="AQ436" s="197"/>
      <c r="AR436" s="197"/>
      <c r="AS436" s="197"/>
      <c r="AT436" s="197"/>
      <c r="AU436" s="197"/>
      <c r="AV436" s="197"/>
      <c r="AW436" s="197"/>
      <c r="AX436" s="197"/>
      <c r="AY436" s="197"/>
      <c r="AZ436" s="197"/>
      <c r="BA436" s="197"/>
      <c r="BB436" s="197"/>
      <c r="BC436" s="19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>
        <v>11</v>
      </c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223">
        <v>11</v>
      </c>
      <c r="DX436" s="47"/>
      <c r="DY436" s="47"/>
      <c r="DZ436" s="198">
        <v>11</v>
      </c>
      <c r="EA436" s="196">
        <v>12</v>
      </c>
      <c r="EB436" s="47"/>
      <c r="EC436" s="47"/>
      <c r="ED436" s="195"/>
      <c r="EE436" s="195"/>
      <c r="EF436" s="195"/>
      <c r="EG436" s="195"/>
      <c r="EH436" s="195"/>
      <c r="EI436" s="196">
        <f t="shared" si="21"/>
        <v>0</v>
      </c>
      <c r="EJ436" s="201">
        <f t="shared" ref="EJ436:EJ448" si="27">H436*1.27</f>
        <v>0</v>
      </c>
      <c r="EK436" s="202">
        <v>11</v>
      </c>
      <c r="EL436" s="5"/>
      <c r="FA436" s="251"/>
    </row>
    <row r="437" spans="1:157" s="1" customFormat="1" ht="20.149999999999999" customHeight="1" x14ac:dyDescent="0.35">
      <c r="A437" s="137"/>
      <c r="B437" s="47" t="s">
        <v>1130</v>
      </c>
      <c r="C437" s="47" t="s">
        <v>1553</v>
      </c>
      <c r="D437" s="2" t="s">
        <v>638</v>
      </c>
      <c r="E437" s="376" t="s">
        <v>59</v>
      </c>
      <c r="F437" s="2" t="s">
        <v>736</v>
      </c>
      <c r="G437" s="2" t="s">
        <v>570</v>
      </c>
      <c r="H437" s="57"/>
      <c r="I437" s="197"/>
      <c r="J437" s="197"/>
      <c r="K437" s="197"/>
      <c r="L437" s="197"/>
      <c r="M437" s="197"/>
      <c r="N437" s="194"/>
      <c r="O437" s="197"/>
      <c r="P437" s="197"/>
      <c r="Q437" s="197"/>
      <c r="R437" s="197"/>
      <c r="S437" s="197"/>
      <c r="T437" s="197"/>
      <c r="U437" s="197"/>
      <c r="V437" s="168"/>
      <c r="W437" s="197"/>
      <c r="X437" s="197"/>
      <c r="Y437" s="197"/>
      <c r="Z437" s="197"/>
      <c r="AA437" s="197"/>
      <c r="AB437" s="197"/>
      <c r="AC437" s="197"/>
      <c r="AD437" s="197"/>
      <c r="AE437" s="197"/>
      <c r="AF437" s="194"/>
      <c r="AG437" s="194"/>
      <c r="AH437" s="5"/>
      <c r="AI437" s="194"/>
      <c r="AJ437" s="194"/>
      <c r="AK437" s="47"/>
      <c r="AL437" s="47"/>
      <c r="AM437" s="47"/>
      <c r="AN437" s="47"/>
      <c r="AO437" s="47"/>
      <c r="AP437" s="197"/>
      <c r="AQ437" s="197"/>
      <c r="AR437" s="197"/>
      <c r="AS437" s="197"/>
      <c r="AT437" s="197"/>
      <c r="AU437" s="197"/>
      <c r="AV437" s="197"/>
      <c r="AW437" s="197"/>
      <c r="AX437" s="197"/>
      <c r="AY437" s="197"/>
      <c r="AZ437" s="197"/>
      <c r="BA437" s="197"/>
      <c r="BB437" s="197"/>
      <c r="BC437" s="19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>
        <v>9</v>
      </c>
      <c r="CM437" s="47"/>
      <c r="CN437" s="47"/>
      <c r="CO437" s="47"/>
      <c r="CP437" s="47">
        <v>10</v>
      </c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198">
        <v>9</v>
      </c>
      <c r="DX437" s="47"/>
      <c r="DY437" s="47"/>
      <c r="DZ437" s="198">
        <v>9</v>
      </c>
      <c r="EA437" s="196">
        <v>10</v>
      </c>
      <c r="EB437" s="47"/>
      <c r="EC437" s="47"/>
      <c r="ED437" s="195"/>
      <c r="EE437" s="195"/>
      <c r="EF437" s="195"/>
      <c r="EG437" s="195"/>
      <c r="EH437" s="195"/>
      <c r="EI437" s="196">
        <f t="shared" si="21"/>
        <v>0</v>
      </c>
      <c r="EJ437" s="201">
        <f t="shared" si="27"/>
        <v>0</v>
      </c>
      <c r="EK437" s="202">
        <v>9</v>
      </c>
      <c r="EL437" s="5"/>
      <c r="FA437" s="251"/>
    </row>
    <row r="438" spans="1:157" s="1" customFormat="1" ht="20.149999999999999" customHeight="1" x14ac:dyDescent="0.35">
      <c r="A438" s="137"/>
      <c r="B438" s="47" t="s">
        <v>1131</v>
      </c>
      <c r="C438" s="47" t="s">
        <v>1554</v>
      </c>
      <c r="D438" s="2" t="s">
        <v>638</v>
      </c>
      <c r="E438" s="376" t="s">
        <v>59</v>
      </c>
      <c r="F438" s="2" t="s">
        <v>1555</v>
      </c>
      <c r="G438" s="2" t="s">
        <v>276</v>
      </c>
      <c r="H438" s="57"/>
      <c r="I438" s="197"/>
      <c r="J438" s="197"/>
      <c r="K438" s="197"/>
      <c r="L438" s="197"/>
      <c r="M438" s="197"/>
      <c r="N438" s="194"/>
      <c r="O438" s="197"/>
      <c r="P438" s="197"/>
      <c r="Q438" s="197"/>
      <c r="R438" s="197"/>
      <c r="S438" s="197"/>
      <c r="T438" s="197"/>
      <c r="U438" s="197"/>
      <c r="V438" s="168"/>
      <c r="W438" s="197"/>
      <c r="X438" s="197"/>
      <c r="Y438" s="197"/>
      <c r="Z438" s="197"/>
      <c r="AA438" s="197"/>
      <c r="AB438" s="197"/>
      <c r="AC438" s="197"/>
      <c r="AD438" s="197"/>
      <c r="AE438" s="197"/>
      <c r="AF438" s="194"/>
      <c r="AG438" s="194"/>
      <c r="AH438" s="5"/>
      <c r="AI438" s="194"/>
      <c r="AJ438" s="194"/>
      <c r="AK438" s="47"/>
      <c r="AL438" s="47"/>
      <c r="AM438" s="47"/>
      <c r="AN438" s="47"/>
      <c r="AO438" s="47"/>
      <c r="AP438" s="197"/>
      <c r="AQ438" s="197"/>
      <c r="AR438" s="197"/>
      <c r="AS438" s="197"/>
      <c r="AT438" s="197"/>
      <c r="AU438" s="197"/>
      <c r="AV438" s="197"/>
      <c r="AW438" s="197"/>
      <c r="AX438" s="197"/>
      <c r="AY438" s="197"/>
      <c r="AZ438" s="197"/>
      <c r="BA438" s="197"/>
      <c r="BB438" s="197"/>
      <c r="BC438" s="19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>
        <v>10</v>
      </c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198">
        <v>9</v>
      </c>
      <c r="DX438" s="47"/>
      <c r="DY438" s="47"/>
      <c r="DZ438" s="198">
        <v>10</v>
      </c>
      <c r="EA438" s="196">
        <f t="shared" si="26"/>
        <v>10.5</v>
      </c>
      <c r="EB438" s="47"/>
      <c r="EC438" s="47"/>
      <c r="ED438" s="195"/>
      <c r="EE438" s="195"/>
      <c r="EF438" s="195"/>
      <c r="EG438" s="195"/>
      <c r="EH438" s="195"/>
      <c r="EI438" s="196">
        <f t="shared" si="21"/>
        <v>0</v>
      </c>
      <c r="EJ438" s="201">
        <f t="shared" si="27"/>
        <v>0</v>
      </c>
      <c r="EK438" s="202">
        <v>10</v>
      </c>
      <c r="EL438" s="5"/>
      <c r="FA438" s="251"/>
    </row>
    <row r="439" spans="1:157" s="1" customFormat="1" ht="20.149999999999999" customHeight="1" x14ac:dyDescent="0.35">
      <c r="A439" s="137"/>
      <c r="B439" s="47" t="s">
        <v>1132</v>
      </c>
      <c r="C439" s="47" t="s">
        <v>1556</v>
      </c>
      <c r="D439" s="2" t="s">
        <v>638</v>
      </c>
      <c r="E439" s="376" t="s">
        <v>59</v>
      </c>
      <c r="F439" s="2" t="s">
        <v>31</v>
      </c>
      <c r="G439" s="2" t="s">
        <v>276</v>
      </c>
      <c r="H439" s="57"/>
      <c r="I439" s="197"/>
      <c r="J439" s="197"/>
      <c r="K439" s="197"/>
      <c r="L439" s="197"/>
      <c r="M439" s="197"/>
      <c r="N439" s="194"/>
      <c r="O439" s="197"/>
      <c r="P439" s="197"/>
      <c r="Q439" s="197"/>
      <c r="R439" s="197"/>
      <c r="S439" s="197"/>
      <c r="T439" s="197"/>
      <c r="U439" s="197"/>
      <c r="V439" s="168"/>
      <c r="W439" s="197"/>
      <c r="X439" s="197"/>
      <c r="Y439" s="197"/>
      <c r="Z439" s="197"/>
      <c r="AA439" s="197"/>
      <c r="AB439" s="197"/>
      <c r="AC439" s="197"/>
      <c r="AD439" s="197"/>
      <c r="AE439" s="197"/>
      <c r="AF439" s="194"/>
      <c r="AG439" s="194"/>
      <c r="AH439" s="5"/>
      <c r="AI439" s="194"/>
      <c r="AJ439" s="194"/>
      <c r="AK439" s="47"/>
      <c r="AL439" s="47"/>
      <c r="AM439" s="47"/>
      <c r="AN439" s="47"/>
      <c r="AO439" s="47"/>
      <c r="AP439" s="197"/>
      <c r="AQ439" s="197"/>
      <c r="AR439" s="197"/>
      <c r="AS439" s="197"/>
      <c r="AT439" s="197"/>
      <c r="AU439" s="197"/>
      <c r="AV439" s="197"/>
      <c r="AW439" s="197"/>
      <c r="AX439" s="197"/>
      <c r="AY439" s="197"/>
      <c r="AZ439" s="197"/>
      <c r="BA439" s="197"/>
      <c r="BB439" s="197"/>
      <c r="BC439" s="19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>
        <v>11</v>
      </c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198">
        <v>12</v>
      </c>
      <c r="DX439" s="47"/>
      <c r="DY439" s="47"/>
      <c r="DZ439" s="198">
        <v>12</v>
      </c>
      <c r="EA439" s="196">
        <v>13</v>
      </c>
      <c r="EB439" s="47"/>
      <c r="EC439" s="47"/>
      <c r="ED439" s="195"/>
      <c r="EE439" s="195"/>
      <c r="EF439" s="195"/>
      <c r="EG439" s="195"/>
      <c r="EH439" s="195"/>
      <c r="EI439" s="196">
        <f t="shared" si="21"/>
        <v>0</v>
      </c>
      <c r="EJ439" s="201">
        <f t="shared" si="27"/>
        <v>0</v>
      </c>
      <c r="EK439" s="202">
        <f t="shared" ref="EK439:EK447" si="28">AVERAGE(I439:EC439)</f>
        <v>12</v>
      </c>
      <c r="EL439" s="5"/>
      <c r="FA439" s="251"/>
    </row>
    <row r="440" spans="1:157" s="1" customFormat="1" ht="20.149999999999999" customHeight="1" x14ac:dyDescent="0.35">
      <c r="A440" s="137"/>
      <c r="B440" s="47" t="s">
        <v>1133</v>
      </c>
      <c r="C440" s="47" t="s">
        <v>1557</v>
      </c>
      <c r="D440" s="2" t="s">
        <v>638</v>
      </c>
      <c r="E440" s="376" t="s">
        <v>33</v>
      </c>
      <c r="F440" s="2" t="s">
        <v>72</v>
      </c>
      <c r="G440" s="2" t="s">
        <v>35</v>
      </c>
      <c r="H440" s="57"/>
      <c r="I440" s="197"/>
      <c r="J440" s="197"/>
      <c r="K440" s="197"/>
      <c r="L440" s="197"/>
      <c r="M440" s="197"/>
      <c r="N440" s="194"/>
      <c r="O440" s="197"/>
      <c r="P440" s="197"/>
      <c r="Q440" s="197"/>
      <c r="R440" s="197"/>
      <c r="S440" s="197"/>
      <c r="T440" s="197"/>
      <c r="U440" s="197"/>
      <c r="V440" s="168"/>
      <c r="W440" s="197"/>
      <c r="X440" s="197"/>
      <c r="Y440" s="197"/>
      <c r="Z440" s="197"/>
      <c r="AA440" s="197"/>
      <c r="AB440" s="197"/>
      <c r="AC440" s="197"/>
      <c r="AD440" s="197"/>
      <c r="AE440" s="197"/>
      <c r="AF440" s="194"/>
      <c r="AG440" s="194"/>
      <c r="AH440" s="5"/>
      <c r="AI440" s="194"/>
      <c r="AJ440" s="194"/>
      <c r="AK440" s="47"/>
      <c r="AL440" s="47"/>
      <c r="AM440" s="47"/>
      <c r="AN440" s="47"/>
      <c r="AO440" s="47"/>
      <c r="AP440" s="197"/>
      <c r="AQ440" s="197"/>
      <c r="AR440" s="197"/>
      <c r="AS440" s="197"/>
      <c r="AT440" s="197"/>
      <c r="AU440" s="197"/>
      <c r="AV440" s="197"/>
      <c r="AW440" s="197"/>
      <c r="AX440" s="197"/>
      <c r="AY440" s="197"/>
      <c r="AZ440" s="197"/>
      <c r="BA440" s="197"/>
      <c r="BB440" s="197"/>
      <c r="BC440" s="19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>
        <v>11</v>
      </c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198">
        <v>12</v>
      </c>
      <c r="DX440" s="47"/>
      <c r="DY440" s="47"/>
      <c r="DZ440" s="198">
        <v>12</v>
      </c>
      <c r="EA440" s="196">
        <v>13</v>
      </c>
      <c r="EB440" s="47"/>
      <c r="EC440" s="47"/>
      <c r="ED440" s="195"/>
      <c r="EE440" s="195"/>
      <c r="EF440" s="195"/>
      <c r="EG440" s="195"/>
      <c r="EH440" s="195"/>
      <c r="EI440" s="196">
        <f t="shared" ref="EI440:EI448" si="29">H440*EH440</f>
        <v>0</v>
      </c>
      <c r="EJ440" s="201">
        <f t="shared" si="27"/>
        <v>0</v>
      </c>
      <c r="EK440" s="202">
        <f t="shared" si="28"/>
        <v>12</v>
      </c>
      <c r="EL440" s="5"/>
      <c r="FA440" s="251"/>
    </row>
    <row r="441" spans="1:157" s="1" customFormat="1" ht="20.149999999999999" customHeight="1" x14ac:dyDescent="0.35">
      <c r="A441" s="137"/>
      <c r="B441" s="189" t="s">
        <v>1134</v>
      </c>
      <c r="C441" s="47" t="s">
        <v>723</v>
      </c>
      <c r="D441" s="2" t="s">
        <v>637</v>
      </c>
      <c r="E441" s="2" t="s">
        <v>33</v>
      </c>
      <c r="F441" s="48" t="s">
        <v>756</v>
      </c>
      <c r="G441" s="48"/>
      <c r="H441" s="173"/>
      <c r="I441" s="197"/>
      <c r="J441" s="197"/>
      <c r="K441" s="197"/>
      <c r="L441" s="197"/>
      <c r="M441" s="197"/>
      <c r="N441" s="194"/>
      <c r="O441" s="197"/>
      <c r="P441" s="197"/>
      <c r="Q441" s="197"/>
      <c r="R441" s="197"/>
      <c r="S441" s="197"/>
      <c r="T441" s="197"/>
      <c r="U441" s="197"/>
      <c r="V441" s="168"/>
      <c r="W441" s="197"/>
      <c r="X441" s="197"/>
      <c r="Y441" s="197"/>
      <c r="Z441" s="197"/>
      <c r="AA441" s="197"/>
      <c r="AB441" s="197"/>
      <c r="AC441" s="197"/>
      <c r="AD441" s="197"/>
      <c r="AE441" s="197"/>
      <c r="AF441" s="194"/>
      <c r="AG441" s="194"/>
      <c r="AH441" s="5"/>
      <c r="AI441" s="194"/>
      <c r="AJ441" s="194"/>
      <c r="AK441" s="47"/>
      <c r="AL441" s="47"/>
      <c r="AM441" s="47"/>
      <c r="AN441" s="47"/>
      <c r="AO441" s="47"/>
      <c r="AP441" s="197"/>
      <c r="AQ441" s="197"/>
      <c r="AR441" s="197"/>
      <c r="AS441" s="197"/>
      <c r="AT441" s="197"/>
      <c r="AU441" s="197"/>
      <c r="AV441" s="197"/>
      <c r="AW441" s="197"/>
      <c r="AX441" s="197"/>
      <c r="AY441" s="197"/>
      <c r="AZ441" s="197"/>
      <c r="BA441" s="197"/>
      <c r="BB441" s="197"/>
      <c r="BC441" s="19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198">
        <v>12</v>
      </c>
      <c r="DX441" s="47"/>
      <c r="DY441" s="47"/>
      <c r="DZ441" s="198">
        <v>12</v>
      </c>
      <c r="EA441" s="196">
        <v>13</v>
      </c>
      <c r="EB441" s="47"/>
      <c r="EC441" s="47"/>
      <c r="ED441" s="195"/>
      <c r="EE441" s="195"/>
      <c r="EF441" s="195"/>
      <c r="EG441" s="195"/>
      <c r="EH441" s="195"/>
      <c r="EI441" s="196">
        <f t="shared" si="29"/>
        <v>0</v>
      </c>
      <c r="EJ441" s="201">
        <f t="shared" si="27"/>
        <v>0</v>
      </c>
      <c r="EK441" s="202">
        <v>12</v>
      </c>
      <c r="EL441" s="5"/>
      <c r="FA441" s="251"/>
    </row>
    <row r="442" spans="1:157" s="1" customFormat="1" ht="20.149999999999999" customHeight="1" x14ac:dyDescent="0.35">
      <c r="A442" s="137"/>
      <c r="B442" s="189" t="s">
        <v>1135</v>
      </c>
      <c r="C442" s="47" t="s">
        <v>730</v>
      </c>
      <c r="D442" s="2" t="s">
        <v>638</v>
      </c>
      <c r="E442" s="2"/>
      <c r="F442" s="48" t="s">
        <v>757</v>
      </c>
      <c r="G442" s="48"/>
      <c r="H442" s="173"/>
      <c r="I442" s="197"/>
      <c r="J442" s="197"/>
      <c r="K442" s="197"/>
      <c r="L442" s="197"/>
      <c r="M442" s="197"/>
      <c r="N442" s="194"/>
      <c r="O442" s="197"/>
      <c r="P442" s="197"/>
      <c r="Q442" s="197"/>
      <c r="R442" s="197"/>
      <c r="S442" s="197"/>
      <c r="T442" s="197"/>
      <c r="U442" s="197"/>
      <c r="V442" s="168"/>
      <c r="W442" s="197"/>
      <c r="X442" s="197"/>
      <c r="Y442" s="197"/>
      <c r="Z442" s="197"/>
      <c r="AA442" s="197"/>
      <c r="AB442" s="197"/>
      <c r="AC442" s="197"/>
      <c r="AD442" s="197"/>
      <c r="AE442" s="197"/>
      <c r="AF442" s="194"/>
      <c r="AG442" s="194"/>
      <c r="AH442" s="5"/>
      <c r="AI442" s="194"/>
      <c r="AJ442" s="194"/>
      <c r="AK442" s="47"/>
      <c r="AL442" s="47"/>
      <c r="AM442" s="47"/>
      <c r="AN442" s="47"/>
      <c r="AO442" s="47"/>
      <c r="AP442" s="197"/>
      <c r="AQ442" s="197"/>
      <c r="AR442" s="197"/>
      <c r="AS442" s="197"/>
      <c r="AT442" s="197"/>
      <c r="AU442" s="197"/>
      <c r="AV442" s="197"/>
      <c r="AW442" s="197"/>
      <c r="AX442" s="197"/>
      <c r="AY442" s="197"/>
      <c r="AZ442" s="197"/>
      <c r="BA442" s="197"/>
      <c r="BB442" s="197"/>
      <c r="BC442" s="19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>
        <v>5</v>
      </c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198">
        <v>5</v>
      </c>
      <c r="DX442" s="47"/>
      <c r="DY442" s="47"/>
      <c r="DZ442" s="198">
        <v>5</v>
      </c>
      <c r="EA442" s="196">
        <f t="shared" si="26"/>
        <v>5.5</v>
      </c>
      <c r="EB442" s="47"/>
      <c r="EC442" s="47"/>
      <c r="ED442" s="195"/>
      <c r="EE442" s="195"/>
      <c r="EF442" s="195"/>
      <c r="EG442" s="195"/>
      <c r="EH442" s="195"/>
      <c r="EI442" s="196">
        <f t="shared" si="29"/>
        <v>0</v>
      </c>
      <c r="EJ442" s="201">
        <f t="shared" si="27"/>
        <v>0</v>
      </c>
      <c r="EK442" s="202">
        <v>5</v>
      </c>
      <c r="EL442" s="5"/>
      <c r="FA442" s="251"/>
    </row>
    <row r="443" spans="1:157" s="1" customFormat="1" ht="20.149999999999999" customHeight="1" x14ac:dyDescent="0.35">
      <c r="A443" s="137"/>
      <c r="B443" s="189" t="s">
        <v>1136</v>
      </c>
      <c r="C443" s="47" t="s">
        <v>731</v>
      </c>
      <c r="D443" s="2" t="s">
        <v>638</v>
      </c>
      <c r="E443" s="2"/>
      <c r="F443" s="48" t="s">
        <v>44</v>
      </c>
      <c r="G443" s="48"/>
      <c r="H443" s="173"/>
      <c r="I443" s="197"/>
      <c r="J443" s="197"/>
      <c r="K443" s="197"/>
      <c r="L443" s="197"/>
      <c r="M443" s="197"/>
      <c r="N443" s="194"/>
      <c r="O443" s="197"/>
      <c r="P443" s="197"/>
      <c r="Q443" s="197"/>
      <c r="R443" s="197"/>
      <c r="S443" s="197"/>
      <c r="T443" s="197"/>
      <c r="U443" s="197"/>
      <c r="V443" s="168"/>
      <c r="W443" s="197"/>
      <c r="X443" s="197"/>
      <c r="Y443" s="197"/>
      <c r="Z443" s="197"/>
      <c r="AA443" s="197"/>
      <c r="AB443" s="197"/>
      <c r="AC443" s="197"/>
      <c r="AD443" s="197"/>
      <c r="AE443" s="197"/>
      <c r="AF443" s="194"/>
      <c r="AG443" s="194"/>
      <c r="AH443" s="5"/>
      <c r="AI443" s="194"/>
      <c r="AJ443" s="194"/>
      <c r="AK443" s="47"/>
      <c r="AL443" s="47"/>
      <c r="AM443" s="47"/>
      <c r="AN443" s="47"/>
      <c r="AO443" s="47"/>
      <c r="AP443" s="197"/>
      <c r="AQ443" s="197"/>
      <c r="AR443" s="197"/>
      <c r="AS443" s="197"/>
      <c r="AT443" s="197"/>
      <c r="AU443" s="197"/>
      <c r="AV443" s="197"/>
      <c r="AW443" s="197"/>
      <c r="AX443" s="197"/>
      <c r="AY443" s="197"/>
      <c r="AZ443" s="197"/>
      <c r="BA443" s="197"/>
      <c r="BB443" s="197"/>
      <c r="BC443" s="19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>
        <v>10</v>
      </c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198">
        <v>10</v>
      </c>
      <c r="DX443" s="47"/>
      <c r="DY443" s="47"/>
      <c r="DZ443" s="198">
        <v>10</v>
      </c>
      <c r="EA443" s="196">
        <f t="shared" si="26"/>
        <v>10.5</v>
      </c>
      <c r="EB443" s="47"/>
      <c r="EC443" s="47"/>
      <c r="ED443" s="195"/>
      <c r="EE443" s="195"/>
      <c r="EF443" s="195"/>
      <c r="EG443" s="195"/>
      <c r="EH443" s="195"/>
      <c r="EI443" s="196">
        <f t="shared" si="29"/>
        <v>0</v>
      </c>
      <c r="EJ443" s="201">
        <f t="shared" si="27"/>
        <v>0</v>
      </c>
      <c r="EK443" s="202">
        <v>10</v>
      </c>
      <c r="EL443" s="5"/>
      <c r="FA443" s="251"/>
    </row>
    <row r="444" spans="1:157" s="1" customFormat="1" ht="20.149999999999999" customHeight="1" x14ac:dyDescent="0.35">
      <c r="A444" s="137"/>
      <c r="B444" s="189" t="s">
        <v>1137</v>
      </c>
      <c r="C444" s="47" t="s">
        <v>754</v>
      </c>
      <c r="D444" s="2" t="s">
        <v>638</v>
      </c>
      <c r="E444" s="2"/>
      <c r="F444" s="48" t="s">
        <v>44</v>
      </c>
      <c r="G444" s="48"/>
      <c r="H444" s="173"/>
      <c r="I444" s="197"/>
      <c r="J444" s="197"/>
      <c r="K444" s="197"/>
      <c r="L444" s="197"/>
      <c r="M444" s="197"/>
      <c r="N444" s="194"/>
      <c r="O444" s="197"/>
      <c r="P444" s="197"/>
      <c r="Q444" s="197"/>
      <c r="R444" s="197"/>
      <c r="S444" s="197"/>
      <c r="T444" s="197"/>
      <c r="U444" s="197"/>
      <c r="V444" s="168"/>
      <c r="W444" s="197"/>
      <c r="X444" s="197"/>
      <c r="Y444" s="197"/>
      <c r="Z444" s="197"/>
      <c r="AA444" s="197"/>
      <c r="AB444" s="197"/>
      <c r="AC444" s="197"/>
      <c r="AD444" s="197"/>
      <c r="AE444" s="197"/>
      <c r="AF444" s="194"/>
      <c r="AG444" s="194"/>
      <c r="AH444" s="5"/>
      <c r="AI444" s="194"/>
      <c r="AJ444" s="194"/>
      <c r="AK444" s="47"/>
      <c r="AL444" s="47"/>
      <c r="AM444" s="47"/>
      <c r="AN444" s="47"/>
      <c r="AO444" s="47"/>
      <c r="AP444" s="197"/>
      <c r="AQ444" s="197"/>
      <c r="AR444" s="197"/>
      <c r="AS444" s="197"/>
      <c r="AT444" s="197"/>
      <c r="AU444" s="197"/>
      <c r="AV444" s="197"/>
      <c r="AW444" s="197"/>
      <c r="AX444" s="197"/>
      <c r="AY444" s="197"/>
      <c r="AZ444" s="197"/>
      <c r="BA444" s="197"/>
      <c r="BB444" s="197"/>
      <c r="BC444" s="19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198">
        <v>12</v>
      </c>
      <c r="DX444" s="47"/>
      <c r="DY444" s="47"/>
      <c r="DZ444" s="198">
        <v>12</v>
      </c>
      <c r="EA444" s="198">
        <v>12</v>
      </c>
      <c r="EB444" s="47"/>
      <c r="EC444" s="47"/>
      <c r="ED444" s="195"/>
      <c r="EE444" s="195"/>
      <c r="EF444" s="195"/>
      <c r="EG444" s="195"/>
      <c r="EH444" s="195"/>
      <c r="EI444" s="196">
        <f t="shared" si="29"/>
        <v>0</v>
      </c>
      <c r="EJ444" s="201">
        <f t="shared" si="27"/>
        <v>0</v>
      </c>
      <c r="EK444" s="202">
        <f t="shared" si="28"/>
        <v>12</v>
      </c>
      <c r="EL444" s="5"/>
      <c r="FA444" s="251"/>
    </row>
    <row r="445" spans="1:157" s="1" customFormat="1" ht="20.149999999999999" customHeight="1" x14ac:dyDescent="0.35">
      <c r="A445" s="137"/>
      <c r="B445" s="189" t="s">
        <v>1138</v>
      </c>
      <c r="C445" s="47" t="s">
        <v>755</v>
      </c>
      <c r="D445" s="2" t="s">
        <v>638</v>
      </c>
      <c r="E445" s="2"/>
      <c r="F445" s="48" t="s">
        <v>734</v>
      </c>
      <c r="G445" s="48"/>
      <c r="H445" s="173"/>
      <c r="I445" s="197"/>
      <c r="J445" s="197"/>
      <c r="K445" s="197"/>
      <c r="L445" s="197"/>
      <c r="M445" s="197"/>
      <c r="N445" s="194"/>
      <c r="O445" s="197"/>
      <c r="P445" s="197"/>
      <c r="Q445" s="197"/>
      <c r="R445" s="197"/>
      <c r="S445" s="197"/>
      <c r="T445" s="197"/>
      <c r="U445" s="197"/>
      <c r="V445" s="168"/>
      <c r="W445" s="197"/>
      <c r="X445" s="197"/>
      <c r="Y445" s="197"/>
      <c r="Z445" s="197"/>
      <c r="AA445" s="197"/>
      <c r="AB445" s="197"/>
      <c r="AC445" s="197"/>
      <c r="AD445" s="197"/>
      <c r="AE445" s="197"/>
      <c r="AF445" s="194"/>
      <c r="AG445" s="194"/>
      <c r="AH445" s="5"/>
      <c r="AI445" s="194"/>
      <c r="AJ445" s="194"/>
      <c r="AK445" s="47"/>
      <c r="AL445" s="47"/>
      <c r="AM445" s="47"/>
      <c r="AN445" s="47"/>
      <c r="AO445" s="47"/>
      <c r="AP445" s="197"/>
      <c r="AQ445" s="197"/>
      <c r="AR445" s="197"/>
      <c r="AS445" s="197"/>
      <c r="AT445" s="197"/>
      <c r="AU445" s="197"/>
      <c r="AV445" s="197"/>
      <c r="AW445" s="197"/>
      <c r="AX445" s="197"/>
      <c r="AY445" s="197"/>
      <c r="AZ445" s="197"/>
      <c r="BA445" s="197"/>
      <c r="BB445" s="197"/>
      <c r="BC445" s="19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198">
        <v>17</v>
      </c>
      <c r="DX445" s="47"/>
      <c r="DY445" s="47"/>
      <c r="DZ445" s="198">
        <v>17</v>
      </c>
      <c r="EA445" s="198">
        <v>18</v>
      </c>
      <c r="EB445" s="47"/>
      <c r="EC445" s="47"/>
      <c r="ED445" s="195"/>
      <c r="EE445" s="195"/>
      <c r="EF445" s="195"/>
      <c r="EG445" s="195"/>
      <c r="EH445" s="195"/>
      <c r="EI445" s="196">
        <f t="shared" si="29"/>
        <v>0</v>
      </c>
      <c r="EJ445" s="201">
        <f t="shared" si="27"/>
        <v>0</v>
      </c>
      <c r="EK445" s="202">
        <v>18</v>
      </c>
      <c r="EL445" s="5"/>
      <c r="FA445" s="251"/>
    </row>
    <row r="446" spans="1:157" s="1" customFormat="1" ht="20.149999999999999" customHeight="1" x14ac:dyDescent="0.35">
      <c r="A446" s="137"/>
      <c r="B446" s="189" t="s">
        <v>1139</v>
      </c>
      <c r="C446" s="47" t="s">
        <v>758</v>
      </c>
      <c r="D446" s="2" t="s">
        <v>638</v>
      </c>
      <c r="E446" s="2"/>
      <c r="F446" s="48" t="s">
        <v>759</v>
      </c>
      <c r="G446" s="48"/>
      <c r="H446" s="173"/>
      <c r="I446" s="197"/>
      <c r="J446" s="197"/>
      <c r="K446" s="197"/>
      <c r="L446" s="197"/>
      <c r="M446" s="197"/>
      <c r="N446" s="194"/>
      <c r="O446" s="197"/>
      <c r="P446" s="197"/>
      <c r="Q446" s="197"/>
      <c r="R446" s="197"/>
      <c r="S446" s="197"/>
      <c r="T446" s="197"/>
      <c r="U446" s="197"/>
      <c r="V446" s="168"/>
      <c r="W446" s="197"/>
      <c r="X446" s="197"/>
      <c r="Y446" s="197"/>
      <c r="Z446" s="197"/>
      <c r="AA446" s="197"/>
      <c r="AB446" s="197"/>
      <c r="AC446" s="197"/>
      <c r="AD446" s="197"/>
      <c r="AE446" s="197"/>
      <c r="AF446" s="194"/>
      <c r="AG446" s="194"/>
      <c r="AH446" s="5"/>
      <c r="AI446" s="194"/>
      <c r="AJ446" s="194"/>
      <c r="AK446" s="47"/>
      <c r="AL446" s="47"/>
      <c r="AM446" s="47"/>
      <c r="AN446" s="47"/>
      <c r="AO446" s="47"/>
      <c r="AP446" s="197"/>
      <c r="AQ446" s="197"/>
      <c r="AR446" s="197"/>
      <c r="AS446" s="197"/>
      <c r="AT446" s="197"/>
      <c r="AU446" s="197"/>
      <c r="AV446" s="197"/>
      <c r="AW446" s="197"/>
      <c r="AX446" s="197"/>
      <c r="AY446" s="197"/>
      <c r="AZ446" s="197"/>
      <c r="BA446" s="197"/>
      <c r="BB446" s="197"/>
      <c r="BC446" s="19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198"/>
      <c r="DX446" s="47"/>
      <c r="DY446" s="47"/>
      <c r="DZ446" s="198"/>
      <c r="EA446" s="198"/>
      <c r="EB446" s="47"/>
      <c r="EC446" s="47"/>
      <c r="ED446" s="195"/>
      <c r="EE446" s="195"/>
      <c r="EF446" s="195"/>
      <c r="EG446" s="195"/>
      <c r="EH446" s="195"/>
      <c r="EI446" s="196">
        <f t="shared" si="29"/>
        <v>0</v>
      </c>
      <c r="EJ446" s="201">
        <f t="shared" si="27"/>
        <v>0</v>
      </c>
      <c r="EK446" s="202">
        <v>0</v>
      </c>
      <c r="EL446" s="5"/>
      <c r="FA446" s="251"/>
    </row>
    <row r="447" spans="1:157" s="1" customFormat="1" ht="20.149999999999999" customHeight="1" x14ac:dyDescent="0.35">
      <c r="A447" s="137"/>
      <c r="B447" s="189" t="s">
        <v>1140</v>
      </c>
      <c r="C447" s="47" t="s">
        <v>767</v>
      </c>
      <c r="D447" s="2" t="s">
        <v>638</v>
      </c>
      <c r="E447" s="2"/>
      <c r="F447" s="48" t="s">
        <v>769</v>
      </c>
      <c r="G447" s="48"/>
      <c r="H447" s="173"/>
      <c r="I447" s="197"/>
      <c r="J447" s="197"/>
      <c r="K447" s="197"/>
      <c r="L447" s="197"/>
      <c r="M447" s="197"/>
      <c r="N447" s="194"/>
      <c r="O447" s="197"/>
      <c r="P447" s="197"/>
      <c r="Q447" s="197"/>
      <c r="R447" s="197"/>
      <c r="S447" s="197"/>
      <c r="T447" s="197"/>
      <c r="U447" s="197"/>
      <c r="V447" s="168"/>
      <c r="W447" s="197"/>
      <c r="X447" s="197"/>
      <c r="Y447" s="197"/>
      <c r="Z447" s="197"/>
      <c r="AA447" s="197"/>
      <c r="AB447" s="197"/>
      <c r="AC447" s="197"/>
      <c r="AD447" s="197"/>
      <c r="AE447" s="197"/>
      <c r="AF447" s="194"/>
      <c r="AG447" s="194"/>
      <c r="AH447" s="5"/>
      <c r="AI447" s="194"/>
      <c r="AJ447" s="194"/>
      <c r="AK447" s="47"/>
      <c r="AL447" s="47"/>
      <c r="AM447" s="47"/>
      <c r="AN447" s="47"/>
      <c r="AO447" s="47"/>
      <c r="AP447" s="197"/>
      <c r="AQ447" s="197"/>
      <c r="AR447" s="197"/>
      <c r="AS447" s="197"/>
      <c r="AT447" s="197"/>
      <c r="AU447" s="197"/>
      <c r="AV447" s="197"/>
      <c r="AW447" s="197"/>
      <c r="AX447" s="197"/>
      <c r="AY447" s="197"/>
      <c r="AZ447" s="197"/>
      <c r="BA447" s="197"/>
      <c r="BB447" s="197"/>
      <c r="BC447" s="197"/>
      <c r="BD447" s="47"/>
      <c r="BE447" s="47"/>
      <c r="BF447" s="47"/>
      <c r="BG447" s="47"/>
      <c r="BH447" s="47"/>
      <c r="BI447" s="47"/>
      <c r="BJ447" s="47"/>
      <c r="BK447" s="47"/>
      <c r="BL447" s="47"/>
      <c r="BM447" s="47"/>
      <c r="BN447" s="47"/>
      <c r="BO447" s="47"/>
      <c r="BP447" s="47"/>
      <c r="BQ447" s="47"/>
      <c r="BR447" s="47"/>
      <c r="BS447" s="47"/>
      <c r="BT447" s="47"/>
      <c r="BU447" s="47"/>
      <c r="BV447" s="47"/>
      <c r="BW447" s="47"/>
      <c r="BX447" s="47"/>
      <c r="BY447" s="47"/>
      <c r="BZ447" s="47"/>
      <c r="CA447" s="47"/>
      <c r="CB447" s="47"/>
      <c r="CC447" s="47"/>
      <c r="CD447" s="47"/>
      <c r="CE447" s="47"/>
      <c r="CF447" s="47"/>
      <c r="CG447" s="47"/>
      <c r="CH447" s="47"/>
      <c r="CI447" s="47"/>
      <c r="CJ447" s="47"/>
      <c r="CK447" s="47"/>
      <c r="CL447" s="47"/>
      <c r="CM447" s="47"/>
      <c r="CN447" s="47"/>
      <c r="CO447" s="47"/>
      <c r="CP447" s="47">
        <v>21</v>
      </c>
      <c r="CQ447" s="47"/>
      <c r="CR447" s="47"/>
      <c r="CS447" s="47"/>
      <c r="CT447" s="47"/>
      <c r="CU447" s="47"/>
      <c r="CV447" s="47"/>
      <c r="CW447" s="47"/>
      <c r="CX447" s="47"/>
      <c r="CY447" s="47"/>
      <c r="CZ447" s="47"/>
      <c r="DA447" s="47"/>
      <c r="DB447" s="47"/>
      <c r="DC447" s="47"/>
      <c r="DD447" s="47"/>
      <c r="DE447" s="47"/>
      <c r="DF447" s="47"/>
      <c r="DG447" s="47"/>
      <c r="DH447" s="47"/>
      <c r="DI447" s="47"/>
      <c r="DJ447" s="47"/>
      <c r="DK447" s="47"/>
      <c r="DL447" s="47"/>
      <c r="DM447" s="47"/>
      <c r="DN447" s="47"/>
      <c r="DO447" s="47"/>
      <c r="DP447" s="47"/>
      <c r="DQ447" s="47"/>
      <c r="DR447" s="47"/>
      <c r="DS447" s="47"/>
      <c r="DT447" s="47"/>
      <c r="DU447" s="47"/>
      <c r="DV447" s="47"/>
      <c r="DW447" s="198"/>
      <c r="DX447" s="47"/>
      <c r="DY447" s="47"/>
      <c r="DZ447" s="198"/>
      <c r="EA447" s="198"/>
      <c r="EB447" s="47"/>
      <c r="EC447" s="47"/>
      <c r="ED447" s="195"/>
      <c r="EE447" s="195"/>
      <c r="EF447" s="195"/>
      <c r="EG447" s="195"/>
      <c r="EH447" s="195"/>
      <c r="EI447" s="196">
        <f t="shared" si="29"/>
        <v>0</v>
      </c>
      <c r="EJ447" s="201">
        <f t="shared" si="27"/>
        <v>0</v>
      </c>
      <c r="EK447" s="202">
        <f t="shared" si="28"/>
        <v>21</v>
      </c>
      <c r="EL447" s="5"/>
      <c r="FA447" s="251"/>
    </row>
    <row r="448" spans="1:157" s="1" customFormat="1" ht="20.149999999999999" customHeight="1" x14ac:dyDescent="0.35">
      <c r="A448" s="137"/>
      <c r="B448" s="189" t="s">
        <v>1141</v>
      </c>
      <c r="C448" s="47" t="s">
        <v>768</v>
      </c>
      <c r="D448" s="48"/>
      <c r="E448" s="2"/>
      <c r="F448" s="48"/>
      <c r="G448" s="48"/>
      <c r="H448" s="173"/>
      <c r="I448" s="197"/>
      <c r="J448" s="197"/>
      <c r="K448" s="197"/>
      <c r="L448" s="197"/>
      <c r="M448" s="197"/>
      <c r="N448" s="194"/>
      <c r="O448" s="197"/>
      <c r="P448" s="197"/>
      <c r="Q448" s="197"/>
      <c r="R448" s="197"/>
      <c r="S448" s="197"/>
      <c r="T448" s="197"/>
      <c r="U448" s="197"/>
      <c r="V448" s="168"/>
      <c r="W448" s="197"/>
      <c r="X448" s="197"/>
      <c r="Y448" s="197"/>
      <c r="Z448" s="197"/>
      <c r="AA448" s="197"/>
      <c r="AB448" s="197"/>
      <c r="AC448" s="197"/>
      <c r="AD448" s="197"/>
      <c r="AE448" s="197"/>
      <c r="AF448" s="194"/>
      <c r="AG448" s="194"/>
      <c r="AH448" s="5"/>
      <c r="AI448" s="194"/>
      <c r="AJ448" s="194"/>
      <c r="AK448" s="47"/>
      <c r="AL448" s="47"/>
      <c r="AM448" s="47"/>
      <c r="AN448" s="47"/>
      <c r="AO448" s="47"/>
      <c r="AP448" s="197"/>
      <c r="AQ448" s="197"/>
      <c r="AR448" s="197"/>
      <c r="AS448" s="197"/>
      <c r="AT448" s="197"/>
      <c r="AU448" s="197"/>
      <c r="AV448" s="197"/>
      <c r="AW448" s="197"/>
      <c r="AX448" s="197"/>
      <c r="AY448" s="197"/>
      <c r="AZ448" s="197"/>
      <c r="BA448" s="197"/>
      <c r="BB448" s="197"/>
      <c r="BC448" s="197"/>
      <c r="BD448" s="47"/>
      <c r="BE448" s="47"/>
      <c r="BF448" s="47"/>
      <c r="BG448" s="47"/>
      <c r="BH448" s="47"/>
      <c r="BI448" s="47"/>
      <c r="BJ448" s="47"/>
      <c r="BK448" s="47"/>
      <c r="BL448" s="47"/>
      <c r="BM448" s="47"/>
      <c r="BN448" s="47"/>
      <c r="BO448" s="47"/>
      <c r="BP448" s="47"/>
      <c r="BQ448" s="47"/>
      <c r="BR448" s="47"/>
      <c r="BS448" s="47"/>
      <c r="BT448" s="47"/>
      <c r="BU448" s="47"/>
      <c r="BV448" s="47"/>
      <c r="BW448" s="47"/>
      <c r="BX448" s="47"/>
      <c r="BY448" s="47"/>
      <c r="BZ448" s="47"/>
      <c r="CA448" s="47"/>
      <c r="CB448" s="47"/>
      <c r="CC448" s="47"/>
      <c r="CD448" s="47"/>
      <c r="CE448" s="47"/>
      <c r="CF448" s="47"/>
      <c r="CG448" s="47"/>
      <c r="CH448" s="47"/>
      <c r="CI448" s="47"/>
      <c r="CJ448" s="47"/>
      <c r="CK448" s="47"/>
      <c r="CL448" s="47"/>
      <c r="CM448" s="47"/>
      <c r="CN448" s="47"/>
      <c r="CO448" s="47"/>
      <c r="CP448" s="47"/>
      <c r="CQ448" s="47"/>
      <c r="CR448" s="47"/>
      <c r="CS448" s="47"/>
      <c r="CT448" s="47"/>
      <c r="CU448" s="47"/>
      <c r="CV448" s="47"/>
      <c r="CW448" s="47"/>
      <c r="CX448" s="47"/>
      <c r="CY448" s="47"/>
      <c r="CZ448" s="47"/>
      <c r="DA448" s="47"/>
      <c r="DB448" s="47"/>
      <c r="DC448" s="47"/>
      <c r="DD448" s="47"/>
      <c r="DE448" s="47"/>
      <c r="DF448" s="47"/>
      <c r="DG448" s="47"/>
      <c r="DH448" s="47"/>
      <c r="DI448" s="47"/>
      <c r="DJ448" s="47"/>
      <c r="DK448" s="47"/>
      <c r="DL448" s="47"/>
      <c r="DM448" s="47"/>
      <c r="DN448" s="47"/>
      <c r="DO448" s="47"/>
      <c r="DP448" s="47"/>
      <c r="DQ448" s="47"/>
      <c r="DR448" s="47"/>
      <c r="DS448" s="47"/>
      <c r="DT448" s="47"/>
      <c r="DU448" s="47"/>
      <c r="DV448" s="47"/>
      <c r="DW448" s="198"/>
      <c r="DX448" s="47"/>
      <c r="DY448" s="47"/>
      <c r="DZ448" s="198"/>
      <c r="EA448" s="198"/>
      <c r="EB448" s="47"/>
      <c r="EC448" s="47"/>
      <c r="ED448" s="195"/>
      <c r="EE448" s="195"/>
      <c r="EF448" s="195"/>
      <c r="EG448" s="195"/>
      <c r="EH448" s="195"/>
      <c r="EI448" s="196">
        <f t="shared" si="29"/>
        <v>0</v>
      </c>
      <c r="EJ448" s="201">
        <f t="shared" si="27"/>
        <v>0</v>
      </c>
      <c r="EK448" s="202">
        <v>0</v>
      </c>
      <c r="EL448" s="5"/>
      <c r="FA448" s="251"/>
    </row>
    <row r="449" spans="2:157" x14ac:dyDescent="0.35">
      <c r="I449" s="229"/>
      <c r="J449" s="229"/>
      <c r="K449" s="229"/>
      <c r="L449" s="229"/>
      <c r="M449" s="229"/>
      <c r="N449" s="230"/>
      <c r="O449" s="230"/>
      <c r="P449" s="230"/>
      <c r="Q449" s="230"/>
      <c r="R449" s="230"/>
      <c r="S449" s="230"/>
      <c r="T449" s="229"/>
      <c r="U449" s="230"/>
      <c r="V449" s="229"/>
      <c r="W449" s="230"/>
      <c r="X449" s="229"/>
      <c r="Y449" s="230"/>
      <c r="Z449" s="230"/>
      <c r="AA449" s="229"/>
      <c r="AB449" s="229"/>
      <c r="AC449" s="229"/>
      <c r="AD449" s="229"/>
      <c r="AE449" s="230"/>
      <c r="AF449" s="230"/>
      <c r="AG449" s="230"/>
      <c r="AI449" s="229"/>
      <c r="AJ449" s="231"/>
      <c r="AK449" s="229"/>
      <c r="AL449" s="229"/>
      <c r="AM449" s="229"/>
      <c r="AN449" s="229"/>
      <c r="AO449" s="229"/>
      <c r="AP449" s="230"/>
      <c r="AQ449" s="229"/>
      <c r="AR449" s="229"/>
      <c r="AS449" s="229"/>
      <c r="AT449" s="230"/>
      <c r="AU449" s="230"/>
      <c r="AV449" s="230"/>
      <c r="AW449" s="230"/>
      <c r="AX449" s="230"/>
      <c r="AY449" s="230"/>
      <c r="AZ449" s="230"/>
      <c r="BA449" s="230"/>
      <c r="BB449" s="230"/>
      <c r="BC449" s="230"/>
      <c r="BD449" s="230"/>
      <c r="BE449" s="230"/>
      <c r="BF449" s="230"/>
      <c r="BG449" s="230"/>
      <c r="BH449" s="230"/>
      <c r="BI449" s="230"/>
      <c r="BJ449" s="230"/>
      <c r="BK449" s="230"/>
      <c r="BL449" s="230"/>
      <c r="BM449" s="230"/>
      <c r="BN449" s="230"/>
      <c r="BO449" s="230"/>
      <c r="BP449" s="230"/>
      <c r="BQ449" s="229"/>
      <c r="BR449" s="230"/>
      <c r="BS449" s="229"/>
      <c r="BT449" s="229"/>
      <c r="BU449" s="229"/>
      <c r="BV449" s="229"/>
      <c r="BW449" s="229"/>
      <c r="BX449" s="230"/>
      <c r="BY449" s="230"/>
      <c r="BZ449" s="230"/>
      <c r="CA449" s="230"/>
      <c r="CB449" s="230"/>
      <c r="CC449" s="229"/>
      <c r="CD449" s="229"/>
      <c r="CE449" s="229"/>
      <c r="CF449" s="229"/>
      <c r="CG449" s="229"/>
      <c r="CH449" s="229"/>
      <c r="CI449" s="229"/>
      <c r="CJ449" s="229"/>
      <c r="CK449" s="229"/>
      <c r="CL449" s="230"/>
      <c r="CM449" s="229"/>
      <c r="CN449" s="229"/>
      <c r="CO449" s="229"/>
      <c r="CP449" s="229"/>
      <c r="CQ449" s="229"/>
      <c r="CR449" s="229"/>
      <c r="CS449" s="231"/>
      <c r="CT449" s="229"/>
      <c r="CU449" s="229"/>
      <c r="CV449" s="229"/>
      <c r="CW449" s="229"/>
      <c r="CX449" s="230"/>
      <c r="CY449" s="229"/>
      <c r="CZ449" s="229"/>
      <c r="DA449" s="229"/>
      <c r="DB449" s="229"/>
      <c r="DC449" s="229"/>
      <c r="DD449" s="229"/>
      <c r="DE449" s="229"/>
      <c r="DF449" s="229"/>
      <c r="DG449" s="229"/>
      <c r="DH449" s="229"/>
      <c r="DI449" s="229"/>
      <c r="DJ449" s="229"/>
      <c r="DK449" s="229"/>
      <c r="DL449" s="229"/>
      <c r="DM449" s="229"/>
      <c r="DN449" s="229"/>
      <c r="DO449" s="229"/>
      <c r="DP449" s="229"/>
      <c r="DQ449" s="229"/>
      <c r="DR449" s="229"/>
      <c r="DS449" s="229"/>
      <c r="DT449" s="229"/>
      <c r="DU449" s="229"/>
      <c r="DV449" s="229"/>
      <c r="DW449" s="231"/>
      <c r="DX449" s="229"/>
      <c r="DY449" s="229"/>
      <c r="DZ449" s="229"/>
      <c r="EA449" s="229"/>
      <c r="EB449" s="229"/>
      <c r="EC449" s="229"/>
      <c r="ED449" s="229"/>
      <c r="EE449" s="229"/>
      <c r="EF449" s="229"/>
      <c r="EG449" s="229"/>
      <c r="FA449" s="251"/>
    </row>
    <row r="450" spans="2:157" x14ac:dyDescent="0.35">
      <c r="I450" s="229"/>
      <c r="J450" s="229"/>
      <c r="K450" s="229"/>
      <c r="L450" s="229"/>
      <c r="M450" s="229"/>
      <c r="N450" s="230"/>
      <c r="O450" s="230"/>
      <c r="P450" s="230"/>
      <c r="Q450" s="230"/>
      <c r="R450" s="230"/>
      <c r="S450" s="230"/>
      <c r="T450" s="229"/>
      <c r="U450" s="230"/>
      <c r="V450" s="229"/>
      <c r="W450" s="230"/>
      <c r="X450" s="229"/>
      <c r="Y450" s="230"/>
      <c r="Z450" s="230"/>
      <c r="AA450" s="229"/>
      <c r="AB450" s="229"/>
      <c r="AC450" s="229"/>
      <c r="AD450" s="229"/>
      <c r="AE450" s="230"/>
      <c r="AF450" s="230"/>
      <c r="AG450" s="230"/>
      <c r="AI450" s="229"/>
      <c r="AJ450" s="231"/>
      <c r="AK450" s="229"/>
      <c r="AL450" s="229"/>
      <c r="AM450" s="229"/>
      <c r="AN450" s="229"/>
      <c r="AO450" s="229"/>
      <c r="AP450" s="230"/>
      <c r="AQ450" s="229"/>
      <c r="AR450" s="229"/>
      <c r="AS450" s="229"/>
      <c r="AT450" s="230"/>
      <c r="AU450" s="230"/>
      <c r="AV450" s="230"/>
      <c r="AW450" s="230"/>
      <c r="AX450" s="230"/>
      <c r="AY450" s="230"/>
      <c r="AZ450" s="230"/>
      <c r="BA450" s="230"/>
      <c r="BB450" s="230"/>
      <c r="BC450" s="230"/>
      <c r="BD450" s="230"/>
      <c r="BE450" s="230"/>
      <c r="BF450" s="230"/>
      <c r="BG450" s="230"/>
      <c r="BH450" s="230"/>
      <c r="BI450" s="230"/>
      <c r="BJ450" s="230"/>
      <c r="BK450" s="230"/>
      <c r="BL450" s="230"/>
      <c r="BM450" s="230"/>
      <c r="BN450" s="230"/>
      <c r="BO450" s="230"/>
      <c r="BP450" s="230"/>
      <c r="BQ450" s="229"/>
      <c r="BR450" s="230"/>
      <c r="BS450" s="229"/>
      <c r="BT450" s="229"/>
      <c r="BU450" s="229"/>
      <c r="BV450" s="229"/>
      <c r="BW450" s="229"/>
      <c r="BX450" s="230"/>
      <c r="BY450" s="230"/>
      <c r="BZ450" s="230"/>
      <c r="CA450" s="230"/>
      <c r="CB450" s="230"/>
      <c r="CC450" s="229"/>
      <c r="CD450" s="229"/>
      <c r="CE450" s="229"/>
      <c r="CF450" s="229"/>
      <c r="CG450" s="229"/>
      <c r="CH450" s="229"/>
      <c r="CI450" s="229"/>
      <c r="CJ450" s="229"/>
      <c r="CK450" s="229"/>
      <c r="CL450" s="230"/>
      <c r="CM450" s="229"/>
      <c r="CN450" s="229"/>
      <c r="CO450" s="229"/>
      <c r="CP450" s="229"/>
      <c r="CQ450" s="229"/>
      <c r="CR450" s="229"/>
      <c r="CS450" s="231"/>
      <c r="CT450" s="229"/>
      <c r="CU450" s="229"/>
      <c r="CV450" s="229"/>
      <c r="CW450" s="229"/>
      <c r="CX450" s="230"/>
      <c r="CY450" s="229"/>
      <c r="CZ450" s="229"/>
      <c r="DA450" s="229"/>
      <c r="DB450" s="229"/>
      <c r="DC450" s="229"/>
      <c r="DD450" s="229"/>
      <c r="DE450" s="229"/>
      <c r="DF450" s="229"/>
      <c r="DG450" s="229"/>
      <c r="DH450" s="229"/>
      <c r="DI450" s="229"/>
      <c r="DJ450" s="229"/>
      <c r="DK450" s="229"/>
      <c r="DL450" s="229"/>
      <c r="DM450" s="229"/>
      <c r="DN450" s="229"/>
      <c r="DO450" s="229"/>
      <c r="DP450" s="229"/>
      <c r="DQ450" s="229"/>
      <c r="DR450" s="229"/>
      <c r="DS450" s="229"/>
      <c r="DT450" s="229"/>
      <c r="DU450" s="229"/>
      <c r="DV450" s="229"/>
      <c r="DW450" s="231"/>
      <c r="DX450" s="229"/>
      <c r="DY450" s="229"/>
      <c r="DZ450" s="229"/>
      <c r="EA450" s="229"/>
      <c r="EB450" s="229"/>
      <c r="EC450" s="229"/>
      <c r="ED450" s="229"/>
      <c r="EE450" s="229"/>
      <c r="EF450" s="229"/>
      <c r="EG450" s="229"/>
      <c r="FA450" s="251"/>
    </row>
    <row r="451" spans="2:157" x14ac:dyDescent="0.35">
      <c r="I451" s="229"/>
      <c r="J451" s="229"/>
      <c r="K451" s="229"/>
      <c r="L451" s="229"/>
      <c r="M451" s="229"/>
      <c r="N451" s="230"/>
      <c r="O451" s="230"/>
      <c r="P451" s="230"/>
      <c r="Q451" s="230"/>
      <c r="R451" s="230"/>
      <c r="S451" s="230"/>
      <c r="T451" s="229"/>
      <c r="U451" s="230"/>
      <c r="V451" s="229"/>
      <c r="W451" s="230"/>
      <c r="X451" s="229"/>
      <c r="Y451" s="230"/>
      <c r="Z451" s="230"/>
      <c r="AA451" s="229"/>
      <c r="AB451" s="229"/>
      <c r="AC451" s="229"/>
      <c r="AD451" s="229"/>
      <c r="AE451" s="230"/>
      <c r="AF451" s="230"/>
      <c r="AG451" s="230"/>
      <c r="AI451" s="229"/>
      <c r="AJ451" s="231"/>
      <c r="AK451" s="229"/>
      <c r="AL451" s="229"/>
      <c r="AM451" s="229"/>
      <c r="AN451" s="229"/>
      <c r="AO451" s="229"/>
      <c r="AP451" s="230"/>
      <c r="AQ451" s="229"/>
      <c r="AR451" s="229"/>
      <c r="AS451" s="229"/>
      <c r="AT451" s="230"/>
      <c r="AU451" s="230"/>
      <c r="AV451" s="230"/>
      <c r="AW451" s="230"/>
      <c r="AX451" s="230"/>
      <c r="AY451" s="230"/>
      <c r="AZ451" s="230"/>
      <c r="BA451" s="230"/>
      <c r="BB451" s="230"/>
      <c r="BC451" s="230"/>
      <c r="BD451" s="230"/>
      <c r="BE451" s="230"/>
      <c r="BF451" s="230"/>
      <c r="BG451" s="230"/>
      <c r="BH451" s="230"/>
      <c r="BI451" s="230"/>
      <c r="BJ451" s="230"/>
      <c r="BK451" s="230"/>
      <c r="BL451" s="230"/>
      <c r="BM451" s="230"/>
      <c r="BN451" s="230"/>
      <c r="BO451" s="230"/>
      <c r="BP451" s="230"/>
      <c r="BQ451" s="229"/>
      <c r="BR451" s="230"/>
      <c r="BS451" s="229"/>
      <c r="BT451" s="229"/>
      <c r="BU451" s="229"/>
      <c r="BV451" s="229"/>
      <c r="BW451" s="229"/>
      <c r="BX451" s="230"/>
      <c r="BY451" s="230"/>
      <c r="BZ451" s="230"/>
      <c r="CA451" s="230"/>
      <c r="CB451" s="230"/>
      <c r="CC451" s="229"/>
      <c r="CD451" s="229"/>
      <c r="CE451" s="229"/>
      <c r="CF451" s="229"/>
      <c r="CG451" s="229"/>
      <c r="CH451" s="229"/>
      <c r="CI451" s="229"/>
      <c r="CJ451" s="229"/>
      <c r="CK451" s="229"/>
      <c r="CL451" s="230"/>
      <c r="CM451" s="229"/>
      <c r="CN451" s="229"/>
      <c r="CO451" s="229"/>
      <c r="CP451" s="229"/>
      <c r="CQ451" s="229"/>
      <c r="CR451" s="229"/>
      <c r="CS451" s="231"/>
      <c r="CT451" s="229"/>
      <c r="CU451" s="229"/>
      <c r="CV451" s="229"/>
      <c r="CW451" s="229"/>
      <c r="CX451" s="230"/>
      <c r="CY451" s="229"/>
      <c r="CZ451" s="229"/>
      <c r="DA451" s="229"/>
      <c r="DB451" s="229"/>
      <c r="DC451" s="229"/>
      <c r="DD451" s="229"/>
      <c r="DE451" s="229"/>
      <c r="DF451" s="229"/>
      <c r="DG451" s="229"/>
      <c r="DH451" s="229"/>
      <c r="DI451" s="229"/>
      <c r="DJ451" s="229"/>
      <c r="DK451" s="229"/>
      <c r="DL451" s="229"/>
      <c r="DM451" s="229"/>
      <c r="DN451" s="229"/>
      <c r="DO451" s="229"/>
      <c r="DP451" s="229"/>
      <c r="DQ451" s="229"/>
      <c r="DR451" s="229"/>
      <c r="DS451" s="229"/>
      <c r="DT451" s="229"/>
      <c r="DU451" s="229"/>
      <c r="DV451" s="229"/>
      <c r="DW451" s="231"/>
      <c r="DX451" s="229"/>
      <c r="DY451" s="229"/>
      <c r="DZ451" s="229"/>
      <c r="EA451" s="229"/>
      <c r="EB451" s="229"/>
      <c r="EC451" s="229"/>
      <c r="ED451" s="229"/>
      <c r="EE451" s="229"/>
      <c r="EF451" s="229"/>
      <c r="EG451" s="229"/>
      <c r="FA451" s="251"/>
    </row>
    <row r="452" spans="2:157" x14ac:dyDescent="0.35">
      <c r="FA452" s="251"/>
    </row>
    <row r="453" spans="2:157" x14ac:dyDescent="0.35">
      <c r="FA453" s="251"/>
    </row>
    <row r="454" spans="2:157" x14ac:dyDescent="0.35">
      <c r="FA454" s="251"/>
    </row>
    <row r="455" spans="2:157" x14ac:dyDescent="0.35">
      <c r="FA455" s="251"/>
    </row>
    <row r="456" spans="2:157" x14ac:dyDescent="0.35">
      <c r="FA456" s="251"/>
    </row>
    <row r="457" spans="2:157" x14ac:dyDescent="0.35">
      <c r="FA457" s="251"/>
    </row>
    <row r="458" spans="2:157" x14ac:dyDescent="0.35">
      <c r="FA458" s="251"/>
    </row>
    <row r="459" spans="2:157" x14ac:dyDescent="0.35">
      <c r="FA459" s="251"/>
    </row>
    <row r="460" spans="2:157" x14ac:dyDescent="0.35">
      <c r="FA460" s="251"/>
    </row>
    <row r="461" spans="2:157" s="1" customFormat="1" ht="20.149999999999999" customHeight="1" x14ac:dyDescent="0.35">
      <c r="B461" s="190" t="s">
        <v>649</v>
      </c>
      <c r="C461" s="137" t="s">
        <v>650</v>
      </c>
      <c r="D461" s="174" t="s">
        <v>56</v>
      </c>
      <c r="E461" s="48" t="s">
        <v>239</v>
      </c>
      <c r="F461" s="48" t="s">
        <v>651</v>
      </c>
      <c r="G461" s="48"/>
      <c r="H461" s="5"/>
      <c r="N461" s="7"/>
      <c r="O461" s="7"/>
      <c r="P461" s="7"/>
      <c r="Q461" s="7"/>
      <c r="R461" s="7"/>
      <c r="S461" s="7"/>
      <c r="U461" s="7"/>
      <c r="W461" s="7"/>
      <c r="Y461" s="7"/>
      <c r="Z461" s="7"/>
      <c r="AE461" s="7"/>
      <c r="AF461" s="7"/>
      <c r="AG461" s="7"/>
      <c r="AH461" s="5"/>
      <c r="AJ461" s="5"/>
      <c r="AP461" s="7"/>
      <c r="AT461" s="7"/>
      <c r="AU461" s="8"/>
      <c r="AV461" s="8"/>
      <c r="AW461" s="7"/>
      <c r="AX461" s="8"/>
      <c r="AY461" s="7"/>
      <c r="AZ461" s="7"/>
      <c r="BA461" s="7"/>
      <c r="BB461" s="7"/>
      <c r="BC461" s="7"/>
      <c r="BD461" s="7"/>
      <c r="BE461" s="7"/>
      <c r="BF461" s="7"/>
      <c r="BG461" s="7"/>
      <c r="BH461" s="7"/>
      <c r="BI461" s="7"/>
      <c r="BJ461" s="7"/>
      <c r="BK461" s="7"/>
      <c r="BL461" s="7"/>
      <c r="BM461" s="7"/>
      <c r="BN461" s="7"/>
      <c r="BO461" s="7"/>
      <c r="BP461" s="7"/>
      <c r="BR461" s="7"/>
      <c r="BX461" s="7"/>
      <c r="BY461" s="7"/>
      <c r="BZ461" s="7"/>
      <c r="CA461" s="7"/>
      <c r="CB461" s="7"/>
      <c r="CL461" s="8"/>
      <c r="CS461" s="5"/>
      <c r="CX461" s="7"/>
      <c r="DW461" s="5"/>
      <c r="DY461" s="7"/>
      <c r="EB461" s="7"/>
      <c r="ED461" s="88"/>
      <c r="EE461" s="88"/>
      <c r="EF461" s="88"/>
      <c r="EG461" s="88"/>
      <c r="EH461" s="88"/>
      <c r="EJ461" s="5"/>
      <c r="EK461" s="5"/>
      <c r="EL461" s="5"/>
      <c r="FA461" s="251"/>
    </row>
    <row r="462" spans="2:157" s="1" customFormat="1" ht="20.149999999999999" customHeight="1" x14ac:dyDescent="0.35">
      <c r="B462" s="190" t="s">
        <v>652</v>
      </c>
      <c r="C462" s="47" t="s">
        <v>653</v>
      </c>
      <c r="D462" s="2"/>
      <c r="E462" s="40"/>
      <c r="F462" s="49" t="s">
        <v>654</v>
      </c>
      <c r="G462" s="49"/>
      <c r="H462" s="5"/>
      <c r="N462" s="7"/>
      <c r="O462" s="7"/>
      <c r="P462" s="7"/>
      <c r="Q462" s="7"/>
      <c r="R462" s="7"/>
      <c r="S462" s="7"/>
      <c r="U462" s="7"/>
      <c r="W462" s="7"/>
      <c r="Y462" s="7"/>
      <c r="Z462" s="7"/>
      <c r="AE462" s="7"/>
      <c r="AF462" s="7"/>
      <c r="AG462" s="7"/>
      <c r="AH462" s="5"/>
      <c r="AJ462" s="5"/>
      <c r="AP462" s="7"/>
      <c r="AT462" s="7"/>
      <c r="AU462" s="8"/>
      <c r="AV462" s="8"/>
      <c r="AW462" s="7"/>
      <c r="AX462" s="8"/>
      <c r="AY462" s="7"/>
      <c r="AZ462" s="7"/>
      <c r="BA462" s="7"/>
      <c r="BB462" s="7"/>
      <c r="BC462" s="7"/>
      <c r="BD462" s="7"/>
      <c r="BE462" s="7"/>
      <c r="BF462" s="7"/>
      <c r="BG462" s="7"/>
      <c r="BH462" s="7"/>
      <c r="BI462" s="7"/>
      <c r="BJ462" s="7"/>
      <c r="BK462" s="7"/>
      <c r="BL462" s="7"/>
      <c r="BM462" s="7"/>
      <c r="BN462" s="7"/>
      <c r="BO462" s="7"/>
      <c r="BP462" s="7"/>
      <c r="BR462" s="7"/>
      <c r="BX462" s="7"/>
      <c r="BY462" s="7"/>
      <c r="BZ462" s="7"/>
      <c r="CA462" s="7"/>
      <c r="CB462" s="7"/>
      <c r="CL462" s="8"/>
      <c r="CS462" s="5"/>
      <c r="CX462" s="7"/>
      <c r="DW462" s="5"/>
      <c r="DY462" s="7"/>
      <c r="EB462" s="7"/>
      <c r="ED462" s="88"/>
      <c r="EE462" s="88"/>
      <c r="EF462" s="88"/>
      <c r="EG462" s="88"/>
      <c r="EH462" s="88"/>
      <c r="EJ462" s="5"/>
      <c r="EK462" s="5"/>
      <c r="EL462" s="5"/>
      <c r="FA462" s="251"/>
    </row>
    <row r="463" spans="2:157" s="1" customFormat="1" ht="20.149999999999999" customHeight="1" x14ac:dyDescent="0.35">
      <c r="B463" s="190" t="s">
        <v>655</v>
      </c>
      <c r="C463" s="47" t="s">
        <v>656</v>
      </c>
      <c r="D463" s="2"/>
      <c r="E463" s="40"/>
      <c r="F463" s="49" t="s">
        <v>654</v>
      </c>
      <c r="G463" s="49"/>
      <c r="H463" s="5"/>
      <c r="N463" s="7"/>
      <c r="O463" s="7"/>
      <c r="P463" s="7"/>
      <c r="Q463" s="7"/>
      <c r="R463" s="7"/>
      <c r="S463" s="7"/>
      <c r="U463" s="7"/>
      <c r="W463" s="7"/>
      <c r="Y463" s="7"/>
      <c r="Z463" s="7"/>
      <c r="AE463" s="7"/>
      <c r="AF463" s="7"/>
      <c r="AG463" s="7"/>
      <c r="AH463" s="5"/>
      <c r="AJ463" s="5"/>
      <c r="AP463" s="7"/>
      <c r="AT463" s="7"/>
      <c r="AU463" s="8"/>
      <c r="AV463" s="8"/>
      <c r="AW463" s="7"/>
      <c r="AX463" s="8"/>
      <c r="AY463" s="7"/>
      <c r="AZ463" s="7"/>
      <c r="BA463" s="7"/>
      <c r="BB463" s="7"/>
      <c r="BC463" s="7"/>
      <c r="BD463" s="7"/>
      <c r="BE463" s="7"/>
      <c r="BF463" s="7"/>
      <c r="BG463" s="7"/>
      <c r="BH463" s="7"/>
      <c r="BI463" s="7"/>
      <c r="BJ463" s="7"/>
      <c r="BK463" s="7"/>
      <c r="BL463" s="7"/>
      <c r="BM463" s="7"/>
      <c r="BN463" s="7"/>
      <c r="BO463" s="7"/>
      <c r="BP463" s="7"/>
      <c r="BR463" s="7"/>
      <c r="BX463" s="7"/>
      <c r="BY463" s="7"/>
      <c r="BZ463" s="7"/>
      <c r="CA463" s="7"/>
      <c r="CB463" s="7"/>
      <c r="CL463" s="8"/>
      <c r="CS463" s="5"/>
      <c r="CX463" s="7"/>
      <c r="DW463" s="5"/>
      <c r="DY463" s="7"/>
      <c r="EB463" s="7"/>
      <c r="ED463" s="88"/>
      <c r="EE463" s="88"/>
      <c r="EF463" s="88"/>
      <c r="EG463" s="88"/>
      <c r="EH463" s="88"/>
      <c r="EJ463" s="5"/>
      <c r="EK463" s="5"/>
      <c r="EL463" s="5"/>
      <c r="FA463" s="251"/>
    </row>
    <row r="464" spans="2:157" s="1" customFormat="1" ht="20.149999999999999" customHeight="1" x14ac:dyDescent="0.35">
      <c r="B464" s="190" t="s">
        <v>657</v>
      </c>
      <c r="C464" s="47" t="s">
        <v>658</v>
      </c>
      <c r="D464" s="2"/>
      <c r="E464" s="40"/>
      <c r="F464" s="49" t="s">
        <v>659</v>
      </c>
      <c r="G464" s="49"/>
      <c r="H464" s="5"/>
      <c r="N464" s="7"/>
      <c r="O464" s="7"/>
      <c r="P464" s="7"/>
      <c r="Q464" s="7"/>
      <c r="R464" s="7"/>
      <c r="S464" s="7"/>
      <c r="U464" s="7"/>
      <c r="W464" s="7"/>
      <c r="Y464" s="7"/>
      <c r="Z464" s="7"/>
      <c r="AE464" s="7"/>
      <c r="AF464" s="7"/>
      <c r="AG464" s="7"/>
      <c r="AH464" s="5"/>
      <c r="AJ464" s="5"/>
      <c r="AP464" s="7"/>
      <c r="AT464" s="7"/>
      <c r="AU464" s="8"/>
      <c r="AV464" s="8"/>
      <c r="AW464" s="7"/>
      <c r="AX464" s="8"/>
      <c r="AY464" s="7"/>
      <c r="AZ464" s="7"/>
      <c r="BA464" s="7"/>
      <c r="BB464" s="7"/>
      <c r="BC464" s="7"/>
      <c r="BD464" s="7"/>
      <c r="BE464" s="7"/>
      <c r="BF464" s="7"/>
      <c r="BG464" s="7"/>
      <c r="BH464" s="7"/>
      <c r="BI464" s="7"/>
      <c r="BJ464" s="7"/>
      <c r="BK464" s="7"/>
      <c r="BL464" s="7"/>
      <c r="BM464" s="7"/>
      <c r="BN464" s="7"/>
      <c r="BO464" s="7"/>
      <c r="BP464" s="7"/>
      <c r="BR464" s="7"/>
      <c r="BX464" s="7"/>
      <c r="BY464" s="7"/>
      <c r="BZ464" s="7"/>
      <c r="CA464" s="7"/>
      <c r="CB464" s="7"/>
      <c r="CL464" s="8"/>
      <c r="CS464" s="5"/>
      <c r="CX464" s="7"/>
      <c r="DW464" s="5"/>
      <c r="DY464" s="7"/>
      <c r="EB464" s="7"/>
      <c r="ED464" s="88"/>
      <c r="EE464" s="88"/>
      <c r="EF464" s="88"/>
      <c r="EG464" s="88"/>
      <c r="EH464" s="88"/>
      <c r="EJ464" s="5"/>
      <c r="EK464" s="5"/>
      <c r="EL464" s="5"/>
      <c r="FA464" s="251"/>
    </row>
    <row r="465" spans="2:157" s="1" customFormat="1" ht="20.149999999999999" customHeight="1" x14ac:dyDescent="0.35">
      <c r="B465" s="190" t="s">
        <v>660</v>
      </c>
      <c r="C465" s="47" t="s">
        <v>661</v>
      </c>
      <c r="D465" s="2"/>
      <c r="E465" s="40"/>
      <c r="F465" s="49" t="s">
        <v>662</v>
      </c>
      <c r="G465" s="49"/>
      <c r="H465" s="5"/>
      <c r="N465" s="7"/>
      <c r="O465" s="7"/>
      <c r="P465" s="7"/>
      <c r="Q465" s="7"/>
      <c r="R465" s="7"/>
      <c r="S465" s="7"/>
      <c r="U465" s="7"/>
      <c r="W465" s="7"/>
      <c r="Y465" s="7"/>
      <c r="Z465" s="7"/>
      <c r="AE465" s="7"/>
      <c r="AF465" s="7"/>
      <c r="AG465" s="7"/>
      <c r="AH465" s="5"/>
      <c r="AJ465" s="5"/>
      <c r="AP465" s="7"/>
      <c r="AT465" s="7"/>
      <c r="AU465" s="8"/>
      <c r="AV465" s="8"/>
      <c r="AW465" s="7"/>
      <c r="AX465" s="8"/>
      <c r="AY465" s="7"/>
      <c r="AZ465" s="7"/>
      <c r="BA465" s="7"/>
      <c r="BB465" s="7"/>
      <c r="BC465" s="7"/>
      <c r="BD465" s="7"/>
      <c r="BE465" s="7"/>
      <c r="BF465" s="7"/>
      <c r="BG465" s="7"/>
      <c r="BH465" s="7"/>
      <c r="BI465" s="7"/>
      <c r="BJ465" s="7"/>
      <c r="BK465" s="7"/>
      <c r="BL465" s="7"/>
      <c r="BM465" s="7"/>
      <c r="BN465" s="7"/>
      <c r="BO465" s="7"/>
      <c r="BP465" s="7"/>
      <c r="BR465" s="7"/>
      <c r="BX465" s="7"/>
      <c r="BY465" s="7"/>
      <c r="BZ465" s="7"/>
      <c r="CA465" s="7"/>
      <c r="CB465" s="7"/>
      <c r="CL465" s="8"/>
      <c r="CS465" s="5"/>
      <c r="CX465" s="7"/>
      <c r="DW465" s="5"/>
      <c r="DY465" s="7"/>
      <c r="EB465" s="7"/>
      <c r="ED465" s="88"/>
      <c r="EE465" s="88"/>
      <c r="EF465" s="88"/>
      <c r="EG465" s="88"/>
      <c r="EH465" s="88"/>
      <c r="EJ465" s="5"/>
      <c r="EK465" s="5"/>
      <c r="EL465" s="5"/>
      <c r="FA465" s="251"/>
    </row>
    <row r="466" spans="2:157" s="1" customFormat="1" ht="20.149999999999999" customHeight="1" x14ac:dyDescent="0.35">
      <c r="B466" s="190" t="s">
        <v>663</v>
      </c>
      <c r="C466" s="47" t="s">
        <v>664</v>
      </c>
      <c r="D466" s="2"/>
      <c r="E466" s="40" t="s">
        <v>665</v>
      </c>
      <c r="F466" s="49" t="s">
        <v>666</v>
      </c>
      <c r="G466" s="49"/>
      <c r="H466" s="5"/>
      <c r="N466" s="7"/>
      <c r="O466" s="7"/>
      <c r="P466" s="7"/>
      <c r="Q466" s="7"/>
      <c r="R466" s="7"/>
      <c r="S466" s="7"/>
      <c r="U466" s="7"/>
      <c r="W466" s="7"/>
      <c r="Y466" s="7"/>
      <c r="Z466" s="7"/>
      <c r="AE466" s="7"/>
      <c r="AF466" s="7"/>
      <c r="AG466" s="7"/>
      <c r="AH466" s="5"/>
      <c r="AJ466" s="5"/>
      <c r="AP466" s="7"/>
      <c r="AT466" s="7"/>
      <c r="AU466" s="8"/>
      <c r="AV466" s="8"/>
      <c r="AW466" s="7"/>
      <c r="AX466" s="8"/>
      <c r="AY466" s="7"/>
      <c r="AZ466" s="7"/>
      <c r="BA466" s="7"/>
      <c r="BB466" s="7"/>
      <c r="BC466" s="7"/>
      <c r="BD466" s="7"/>
      <c r="BE466" s="7"/>
      <c r="BF466" s="7"/>
      <c r="BG466" s="7"/>
      <c r="BH466" s="7"/>
      <c r="BI466" s="7"/>
      <c r="BJ466" s="7"/>
      <c r="BK466" s="7"/>
      <c r="BL466" s="7"/>
      <c r="BM466" s="7"/>
      <c r="BN466" s="7"/>
      <c r="BO466" s="7"/>
      <c r="BP466" s="7"/>
      <c r="BR466" s="7"/>
      <c r="BX466" s="7"/>
      <c r="BY466" s="7"/>
      <c r="BZ466" s="7"/>
      <c r="CA466" s="7"/>
      <c r="CB466" s="7"/>
      <c r="CL466" s="8"/>
      <c r="CS466" s="5"/>
      <c r="CX466" s="7"/>
      <c r="DW466" s="5"/>
      <c r="DY466" s="7"/>
      <c r="EB466" s="7"/>
      <c r="ED466" s="88"/>
      <c r="EE466" s="88"/>
      <c r="EF466" s="88"/>
      <c r="EG466" s="88"/>
      <c r="EH466" s="88"/>
      <c r="EJ466" s="5"/>
      <c r="EK466" s="5"/>
      <c r="EL466" s="5"/>
      <c r="FA466" s="251"/>
    </row>
    <row r="467" spans="2:157" s="1" customFormat="1" ht="20.149999999999999" customHeight="1" x14ac:dyDescent="0.35">
      <c r="B467" s="190" t="s">
        <v>667</v>
      </c>
      <c r="C467" s="47" t="s">
        <v>668</v>
      </c>
      <c r="D467" s="2"/>
      <c r="E467" s="40"/>
      <c r="F467" s="49" t="s">
        <v>669</v>
      </c>
      <c r="G467" s="49"/>
      <c r="H467" s="5"/>
      <c r="N467" s="7"/>
      <c r="O467" s="7"/>
      <c r="P467" s="7"/>
      <c r="Q467" s="7"/>
      <c r="R467" s="7"/>
      <c r="S467" s="7"/>
      <c r="U467" s="7"/>
      <c r="W467" s="7"/>
      <c r="Y467" s="7"/>
      <c r="Z467" s="7"/>
      <c r="AE467" s="7"/>
      <c r="AF467" s="7"/>
      <c r="AG467" s="7"/>
      <c r="AH467" s="5"/>
      <c r="AJ467" s="5"/>
      <c r="AP467" s="7"/>
      <c r="AT467" s="7"/>
      <c r="AU467" s="8"/>
      <c r="AV467" s="8"/>
      <c r="AW467" s="7"/>
      <c r="AX467" s="8"/>
      <c r="AY467" s="7"/>
      <c r="AZ467" s="7"/>
      <c r="BA467" s="7"/>
      <c r="BB467" s="7"/>
      <c r="BC467" s="7"/>
      <c r="BD467" s="7"/>
      <c r="BE467" s="7"/>
      <c r="BF467" s="7"/>
      <c r="BG467" s="7"/>
      <c r="BH467" s="7"/>
      <c r="BI467" s="7"/>
      <c r="BJ467" s="7"/>
      <c r="BK467" s="7"/>
      <c r="BL467" s="7"/>
      <c r="BM467" s="7"/>
      <c r="BN467" s="7"/>
      <c r="BO467" s="7"/>
      <c r="BP467" s="7"/>
      <c r="BR467" s="7"/>
      <c r="BX467" s="7"/>
      <c r="BY467" s="7"/>
      <c r="BZ467" s="7"/>
      <c r="CA467" s="7"/>
      <c r="CB467" s="7"/>
      <c r="CL467" s="8"/>
      <c r="CS467" s="5"/>
      <c r="CX467" s="7"/>
      <c r="DW467" s="5"/>
      <c r="DY467" s="7"/>
      <c r="EB467" s="7"/>
      <c r="ED467" s="88"/>
      <c r="EE467" s="88"/>
      <c r="EF467" s="88"/>
      <c r="EG467" s="88"/>
      <c r="EH467" s="88"/>
      <c r="EJ467" s="5"/>
      <c r="EK467" s="5"/>
      <c r="EL467" s="5"/>
      <c r="FA467" s="251"/>
    </row>
    <row r="468" spans="2:157" s="1" customFormat="1" ht="20.149999999999999" customHeight="1" x14ac:dyDescent="0.35">
      <c r="B468" s="190" t="s">
        <v>670</v>
      </c>
      <c r="C468" s="47" t="s">
        <v>671</v>
      </c>
      <c r="D468" s="2"/>
      <c r="E468" s="40"/>
      <c r="F468" s="49" t="s">
        <v>659</v>
      </c>
      <c r="G468" s="49"/>
      <c r="H468" s="5"/>
      <c r="N468" s="7"/>
      <c r="O468" s="7"/>
      <c r="P468" s="7"/>
      <c r="Q468" s="7"/>
      <c r="R468" s="7"/>
      <c r="S468" s="7"/>
      <c r="U468" s="7"/>
      <c r="W468" s="7"/>
      <c r="Y468" s="7"/>
      <c r="Z468" s="7"/>
      <c r="AE468" s="7"/>
      <c r="AF468" s="7"/>
      <c r="AG468" s="7"/>
      <c r="AH468" s="5"/>
      <c r="AJ468" s="5"/>
      <c r="AP468" s="7"/>
      <c r="AT468" s="7"/>
      <c r="AU468" s="8"/>
      <c r="AV468" s="8"/>
      <c r="AW468" s="7"/>
      <c r="AX468" s="8"/>
      <c r="AY468" s="7"/>
      <c r="AZ468" s="7"/>
      <c r="BA468" s="7"/>
      <c r="BB468" s="7"/>
      <c r="BC468" s="7"/>
      <c r="BD468" s="7"/>
      <c r="BE468" s="7"/>
      <c r="BF468" s="7"/>
      <c r="BG468" s="7"/>
      <c r="BH468" s="7"/>
      <c r="BI468" s="7"/>
      <c r="BJ468" s="7"/>
      <c r="BK468" s="7"/>
      <c r="BL468" s="7"/>
      <c r="BM468" s="7"/>
      <c r="BN468" s="7"/>
      <c r="BO468" s="7"/>
      <c r="BP468" s="7"/>
      <c r="BR468" s="7"/>
      <c r="BX468" s="7"/>
      <c r="BY468" s="7"/>
      <c r="BZ468" s="7"/>
      <c r="CA468" s="7"/>
      <c r="CB468" s="7"/>
      <c r="CL468" s="8"/>
      <c r="CS468" s="5"/>
      <c r="CX468" s="7"/>
      <c r="DW468" s="5"/>
      <c r="DY468" s="7"/>
      <c r="EB468" s="7"/>
      <c r="ED468" s="88"/>
      <c r="EE468" s="88"/>
      <c r="EF468" s="88"/>
      <c r="EG468" s="88"/>
      <c r="EH468" s="88"/>
      <c r="EJ468" s="5"/>
      <c r="EK468" s="5"/>
      <c r="EL468" s="5"/>
      <c r="FA468" s="251"/>
    </row>
    <row r="469" spans="2:157" s="1" customFormat="1" ht="20.149999999999999" customHeight="1" x14ac:dyDescent="0.35">
      <c r="B469" s="190" t="s">
        <v>672</v>
      </c>
      <c r="C469" s="47" t="s">
        <v>673</v>
      </c>
      <c r="D469" s="2"/>
      <c r="E469" s="40"/>
      <c r="F469" s="49" t="s">
        <v>674</v>
      </c>
      <c r="G469" s="49"/>
      <c r="H469" s="5"/>
      <c r="N469" s="7"/>
      <c r="O469" s="7"/>
      <c r="P469" s="7"/>
      <c r="Q469" s="7"/>
      <c r="R469" s="7"/>
      <c r="S469" s="7"/>
      <c r="U469" s="7"/>
      <c r="W469" s="7"/>
      <c r="Y469" s="7"/>
      <c r="Z469" s="7"/>
      <c r="AE469" s="7"/>
      <c r="AF469" s="7"/>
      <c r="AG469" s="7"/>
      <c r="AH469" s="5"/>
      <c r="AJ469" s="5"/>
      <c r="AP469" s="7"/>
      <c r="AT469" s="7"/>
      <c r="AU469" s="8"/>
      <c r="AV469" s="8"/>
      <c r="AW469" s="7"/>
      <c r="AX469" s="8"/>
      <c r="AY469" s="7"/>
      <c r="AZ469" s="7"/>
      <c r="BA469" s="7"/>
      <c r="BB469" s="7"/>
      <c r="BC469" s="7"/>
      <c r="BD469" s="7"/>
      <c r="BE469" s="7"/>
      <c r="BF469" s="7"/>
      <c r="BG469" s="7"/>
      <c r="BH469" s="7"/>
      <c r="BI469" s="7"/>
      <c r="BJ469" s="7"/>
      <c r="BK469" s="7"/>
      <c r="BL469" s="7"/>
      <c r="BM469" s="7"/>
      <c r="BN469" s="7"/>
      <c r="BO469" s="7"/>
      <c r="BP469" s="7"/>
      <c r="BR469" s="7"/>
      <c r="BX469" s="7"/>
      <c r="BY469" s="7"/>
      <c r="BZ469" s="7"/>
      <c r="CA469" s="7"/>
      <c r="CB469" s="7"/>
      <c r="CL469" s="8"/>
      <c r="CS469" s="5"/>
      <c r="CX469" s="7"/>
      <c r="DW469" s="5"/>
      <c r="DY469" s="7"/>
      <c r="EB469" s="7"/>
      <c r="ED469" s="88"/>
      <c r="EE469" s="88"/>
      <c r="EF469" s="88"/>
      <c r="EG469" s="88"/>
      <c r="EH469" s="88"/>
      <c r="EJ469" s="5"/>
      <c r="EK469" s="5"/>
      <c r="EL469" s="5"/>
      <c r="FA469" s="251"/>
    </row>
    <row r="470" spans="2:157" s="1" customFormat="1" ht="20.149999999999999" customHeight="1" x14ac:dyDescent="0.35">
      <c r="B470" s="190" t="s">
        <v>675</v>
      </c>
      <c r="C470" s="1" t="s">
        <v>676</v>
      </c>
      <c r="D470" s="2"/>
      <c r="E470" s="40"/>
      <c r="F470" s="49" t="s">
        <v>677</v>
      </c>
      <c r="G470" s="49"/>
      <c r="H470" s="5"/>
      <c r="N470" s="7"/>
      <c r="O470" s="7"/>
      <c r="P470" s="7"/>
      <c r="Q470" s="7"/>
      <c r="R470" s="7"/>
      <c r="S470" s="7"/>
      <c r="U470" s="7"/>
      <c r="W470" s="7"/>
      <c r="Y470" s="7"/>
      <c r="Z470" s="7"/>
      <c r="AE470" s="7"/>
      <c r="AF470" s="7"/>
      <c r="AG470" s="7"/>
      <c r="AH470" s="5"/>
      <c r="AJ470" s="5"/>
      <c r="AP470" s="7"/>
      <c r="AT470" s="7"/>
      <c r="AU470" s="8"/>
      <c r="AV470" s="8"/>
      <c r="AW470" s="7"/>
      <c r="AX470" s="8"/>
      <c r="AY470" s="7"/>
      <c r="AZ470" s="7"/>
      <c r="BA470" s="7"/>
      <c r="BB470" s="7"/>
      <c r="BC470" s="7"/>
      <c r="BD470" s="7"/>
      <c r="BE470" s="7"/>
      <c r="BF470" s="7"/>
      <c r="BG470" s="7"/>
      <c r="BH470" s="7"/>
      <c r="BI470" s="7"/>
      <c r="BJ470" s="7"/>
      <c r="BK470" s="7"/>
      <c r="BL470" s="7"/>
      <c r="BM470" s="7"/>
      <c r="BN470" s="7"/>
      <c r="BO470" s="7"/>
      <c r="BP470" s="7"/>
      <c r="BR470" s="7"/>
      <c r="BX470" s="7"/>
      <c r="BY470" s="7"/>
      <c r="BZ470" s="7"/>
      <c r="CA470" s="7"/>
      <c r="CB470" s="7"/>
      <c r="CL470" s="8"/>
      <c r="CS470" s="5"/>
      <c r="CX470" s="7"/>
      <c r="DW470" s="5"/>
      <c r="DY470" s="7"/>
      <c r="EB470" s="7"/>
      <c r="ED470" s="88"/>
      <c r="EE470" s="88"/>
      <c r="EF470" s="88"/>
      <c r="EG470" s="88"/>
      <c r="EH470" s="88"/>
      <c r="EJ470" s="5"/>
      <c r="EK470" s="5"/>
      <c r="EL470" s="5"/>
      <c r="FA470" s="251"/>
    </row>
    <row r="471" spans="2:157" s="1" customFormat="1" ht="20.149999999999999" customHeight="1" x14ac:dyDescent="0.35">
      <c r="B471" s="190" t="s">
        <v>678</v>
      </c>
      <c r="C471" s="47" t="s">
        <v>679</v>
      </c>
      <c r="D471" s="2"/>
      <c r="E471" s="40"/>
      <c r="F471" s="49" t="s">
        <v>680</v>
      </c>
      <c r="G471" s="49"/>
      <c r="H471" s="5"/>
      <c r="N471" s="7"/>
      <c r="O471" s="7"/>
      <c r="P471" s="7"/>
      <c r="Q471" s="7"/>
      <c r="R471" s="7"/>
      <c r="S471" s="7"/>
      <c r="U471" s="7"/>
      <c r="W471" s="7"/>
      <c r="Y471" s="7"/>
      <c r="Z471" s="7"/>
      <c r="AE471" s="7"/>
      <c r="AF471" s="7"/>
      <c r="AG471" s="7"/>
      <c r="AH471" s="5"/>
      <c r="AJ471" s="5"/>
      <c r="AP471" s="7"/>
      <c r="AT471" s="7"/>
      <c r="AU471" s="8"/>
      <c r="AV471" s="8"/>
      <c r="AW471" s="7"/>
      <c r="AX471" s="8"/>
      <c r="AY471" s="7"/>
      <c r="AZ471" s="7"/>
      <c r="BA471" s="7"/>
      <c r="BB471" s="7"/>
      <c r="BC471" s="7"/>
      <c r="BD471" s="7"/>
      <c r="BE471" s="7"/>
      <c r="BF471" s="7"/>
      <c r="BG471" s="7"/>
      <c r="BH471" s="7"/>
      <c r="BI471" s="7"/>
      <c r="BJ471" s="7"/>
      <c r="BK471" s="7"/>
      <c r="BL471" s="7"/>
      <c r="BM471" s="7"/>
      <c r="BN471" s="7"/>
      <c r="BO471" s="7"/>
      <c r="BP471" s="7"/>
      <c r="BR471" s="7"/>
      <c r="BX471" s="7"/>
      <c r="BY471" s="7"/>
      <c r="BZ471" s="7"/>
      <c r="CA471" s="7"/>
      <c r="CB471" s="7"/>
      <c r="CL471" s="8"/>
      <c r="CS471" s="5"/>
      <c r="CX471" s="7"/>
      <c r="DW471" s="5"/>
      <c r="DY471" s="7"/>
      <c r="EB471" s="7"/>
      <c r="ED471" s="88"/>
      <c r="EE471" s="88"/>
      <c r="EF471" s="88"/>
      <c r="EG471" s="88"/>
      <c r="EH471" s="88"/>
      <c r="EJ471" s="5"/>
      <c r="EK471" s="5"/>
      <c r="EL471" s="5"/>
      <c r="FA471" s="251"/>
    </row>
    <row r="472" spans="2:157" s="1" customFormat="1" ht="20.149999999999999" customHeight="1" x14ac:dyDescent="0.35">
      <c r="B472" s="190" t="s">
        <v>681</v>
      </c>
      <c r="C472" s="47" t="s">
        <v>682</v>
      </c>
      <c r="D472" s="2"/>
      <c r="E472" s="40"/>
      <c r="F472" s="49" t="s">
        <v>683</v>
      </c>
      <c r="G472" s="49"/>
      <c r="H472" s="5"/>
      <c r="N472" s="7"/>
      <c r="O472" s="7"/>
      <c r="P472" s="7"/>
      <c r="Q472" s="7"/>
      <c r="R472" s="7"/>
      <c r="S472" s="7"/>
      <c r="U472" s="7"/>
      <c r="W472" s="7"/>
      <c r="Y472" s="7"/>
      <c r="Z472" s="7"/>
      <c r="AE472" s="7"/>
      <c r="AF472" s="7"/>
      <c r="AG472" s="7"/>
      <c r="AH472" s="5"/>
      <c r="AJ472" s="5"/>
      <c r="AP472" s="7"/>
      <c r="AT472" s="7"/>
      <c r="AU472" s="8"/>
      <c r="AV472" s="8"/>
      <c r="AW472" s="7"/>
      <c r="AX472" s="8"/>
      <c r="AY472" s="7"/>
      <c r="AZ472" s="7"/>
      <c r="BA472" s="7"/>
      <c r="BB472" s="7"/>
      <c r="BC472" s="7"/>
      <c r="BD472" s="7"/>
      <c r="BE472" s="7"/>
      <c r="BF472" s="7"/>
      <c r="BG472" s="7"/>
      <c r="BH472" s="7"/>
      <c r="BI472" s="7"/>
      <c r="BJ472" s="7"/>
      <c r="BK472" s="7"/>
      <c r="BL472" s="7"/>
      <c r="BM472" s="7"/>
      <c r="BN472" s="7"/>
      <c r="BO472" s="7"/>
      <c r="BP472" s="7"/>
      <c r="BR472" s="7"/>
      <c r="BX472" s="7"/>
      <c r="BY472" s="7"/>
      <c r="BZ472" s="7"/>
      <c r="CA472" s="7"/>
      <c r="CB472" s="7"/>
      <c r="CL472" s="8"/>
      <c r="CS472" s="5"/>
      <c r="CX472" s="7"/>
      <c r="DW472" s="5"/>
      <c r="DY472" s="7"/>
      <c r="EB472" s="7"/>
      <c r="ED472" s="88"/>
      <c r="EE472" s="88"/>
      <c r="EF472" s="88"/>
      <c r="EG472" s="88"/>
      <c r="EH472" s="88"/>
      <c r="EJ472" s="5"/>
      <c r="EK472" s="5"/>
      <c r="EL472" s="5"/>
      <c r="FA472" s="251"/>
    </row>
    <row r="473" spans="2:157" s="1" customFormat="1" ht="20.149999999999999" customHeight="1" x14ac:dyDescent="0.35">
      <c r="B473" s="190" t="s">
        <v>684</v>
      </c>
      <c r="C473" s="47" t="s">
        <v>685</v>
      </c>
      <c r="D473" s="2"/>
      <c r="E473" s="40"/>
      <c r="F473" s="49" t="s">
        <v>683</v>
      </c>
      <c r="G473" s="49"/>
      <c r="H473" s="5"/>
      <c r="N473" s="7"/>
      <c r="O473" s="7"/>
      <c r="P473" s="7"/>
      <c r="Q473" s="7"/>
      <c r="R473" s="7"/>
      <c r="S473" s="7"/>
      <c r="U473" s="7"/>
      <c r="W473" s="7"/>
      <c r="Y473" s="7"/>
      <c r="Z473" s="7"/>
      <c r="AE473" s="7"/>
      <c r="AF473" s="7"/>
      <c r="AG473" s="7"/>
      <c r="AH473" s="5"/>
      <c r="AJ473" s="5"/>
      <c r="AP473" s="7"/>
      <c r="AT473" s="7"/>
      <c r="AU473" s="8"/>
      <c r="AV473" s="8"/>
      <c r="AW473" s="7"/>
      <c r="AX473" s="8"/>
      <c r="AY473" s="7"/>
      <c r="AZ473" s="7"/>
      <c r="BA473" s="7"/>
      <c r="BB473" s="7"/>
      <c r="BC473" s="7"/>
      <c r="BD473" s="7"/>
      <c r="BE473" s="7"/>
      <c r="BF473" s="7"/>
      <c r="BG473" s="7"/>
      <c r="BH473" s="7"/>
      <c r="BI473" s="7"/>
      <c r="BJ473" s="7"/>
      <c r="BK473" s="7"/>
      <c r="BL473" s="7"/>
      <c r="BM473" s="7"/>
      <c r="BN473" s="7"/>
      <c r="BO473" s="7"/>
      <c r="BP473" s="7"/>
      <c r="BR473" s="7"/>
      <c r="BX473" s="7"/>
      <c r="BY473" s="7"/>
      <c r="BZ473" s="7"/>
      <c r="CA473" s="7"/>
      <c r="CB473" s="7"/>
      <c r="CL473" s="8"/>
      <c r="CS473" s="5"/>
      <c r="CX473" s="7"/>
      <c r="DW473" s="5"/>
      <c r="DY473" s="7"/>
      <c r="EB473" s="7"/>
      <c r="ED473" s="88"/>
      <c r="EE473" s="88"/>
      <c r="EF473" s="88"/>
      <c r="EG473" s="88"/>
      <c r="EH473" s="88"/>
      <c r="EJ473" s="5"/>
      <c r="EK473" s="5"/>
      <c r="EL473" s="5"/>
      <c r="FA473" s="251"/>
    </row>
    <row r="474" spans="2:157" s="1" customFormat="1" ht="20.149999999999999" customHeight="1" x14ac:dyDescent="0.35">
      <c r="B474" s="190" t="s">
        <v>688</v>
      </c>
      <c r="C474" s="47" t="s">
        <v>668</v>
      </c>
      <c r="D474" s="2"/>
      <c r="E474" s="40"/>
      <c r="F474" s="49" t="s">
        <v>689</v>
      </c>
      <c r="G474" s="49" t="s">
        <v>45</v>
      </c>
      <c r="H474" s="5"/>
      <c r="N474" s="7"/>
      <c r="O474" s="7"/>
      <c r="P474" s="7"/>
      <c r="Q474" s="7"/>
      <c r="R474" s="7"/>
      <c r="S474" s="7"/>
      <c r="U474" s="7"/>
      <c r="W474" s="7"/>
      <c r="Y474" s="7"/>
      <c r="Z474" s="7"/>
      <c r="AE474" s="7"/>
      <c r="AF474" s="7"/>
      <c r="AG474" s="7"/>
      <c r="AH474" s="5"/>
      <c r="AJ474" s="5"/>
      <c r="AP474" s="7"/>
      <c r="AT474" s="7"/>
      <c r="AU474" s="8"/>
      <c r="AV474" s="8"/>
      <c r="AW474" s="7"/>
      <c r="AX474" s="8"/>
      <c r="AY474" s="7"/>
      <c r="AZ474" s="7"/>
      <c r="BA474" s="7"/>
      <c r="BB474" s="7"/>
      <c r="BC474" s="7"/>
      <c r="BD474" s="7"/>
      <c r="BE474" s="7"/>
      <c r="BF474" s="7"/>
      <c r="BG474" s="7"/>
      <c r="BH474" s="7"/>
      <c r="BI474" s="7"/>
      <c r="BJ474" s="7"/>
      <c r="BK474" s="7"/>
      <c r="BL474" s="7"/>
      <c r="BM474" s="7"/>
      <c r="BN474" s="7"/>
      <c r="BO474" s="7"/>
      <c r="BP474" s="7"/>
      <c r="BR474" s="7"/>
      <c r="BX474" s="7"/>
      <c r="BY474" s="7"/>
      <c r="BZ474" s="7"/>
      <c r="CA474" s="7"/>
      <c r="CB474" s="7"/>
      <c r="CL474" s="8"/>
      <c r="CS474" s="5"/>
      <c r="CX474" s="7"/>
      <c r="DW474" s="5"/>
      <c r="DY474" s="7"/>
      <c r="EB474" s="7"/>
      <c r="ED474" s="88"/>
      <c r="EE474" s="88"/>
      <c r="EF474" s="88"/>
      <c r="EG474" s="88"/>
      <c r="EH474" s="88"/>
      <c r="EJ474" s="5"/>
      <c r="EK474" s="5"/>
      <c r="EL474" s="5"/>
      <c r="FA474" s="251"/>
    </row>
    <row r="475" spans="2:157" s="1" customFormat="1" ht="20.149999999999999" customHeight="1" x14ac:dyDescent="0.35">
      <c r="B475" s="190" t="s">
        <v>690</v>
      </c>
      <c r="C475" s="47" t="s">
        <v>691</v>
      </c>
      <c r="D475" s="2"/>
      <c r="E475" s="40"/>
      <c r="F475" s="49" t="s">
        <v>692</v>
      </c>
      <c r="G475" s="49" t="s">
        <v>82</v>
      </c>
      <c r="H475" s="5"/>
      <c r="N475" s="7"/>
      <c r="O475" s="7"/>
      <c r="P475" s="7"/>
      <c r="Q475" s="7"/>
      <c r="R475" s="7"/>
      <c r="S475" s="7"/>
      <c r="U475" s="7"/>
      <c r="W475" s="7"/>
      <c r="Y475" s="7"/>
      <c r="Z475" s="7"/>
      <c r="AE475" s="7"/>
      <c r="AF475" s="7"/>
      <c r="AG475" s="7"/>
      <c r="AH475" s="5"/>
      <c r="AJ475" s="5"/>
      <c r="AP475" s="7"/>
      <c r="AT475" s="7"/>
      <c r="AU475" s="8"/>
      <c r="AV475" s="8"/>
      <c r="AW475" s="7"/>
      <c r="AX475" s="8"/>
      <c r="AY475" s="7"/>
      <c r="AZ475" s="7"/>
      <c r="BA475" s="7"/>
      <c r="BB475" s="7"/>
      <c r="BC475" s="7"/>
      <c r="BD475" s="7"/>
      <c r="BE475" s="7"/>
      <c r="BF475" s="7"/>
      <c r="BG475" s="7"/>
      <c r="BH475" s="7"/>
      <c r="BI475" s="7"/>
      <c r="BJ475" s="7"/>
      <c r="BK475" s="7"/>
      <c r="BL475" s="7"/>
      <c r="BM475" s="7"/>
      <c r="BN475" s="7"/>
      <c r="BO475" s="7"/>
      <c r="BP475" s="7"/>
      <c r="BR475" s="7"/>
      <c r="BX475" s="7"/>
      <c r="BY475" s="7"/>
      <c r="BZ475" s="7"/>
      <c r="CA475" s="7"/>
      <c r="CB475" s="7"/>
      <c r="CL475" s="8"/>
      <c r="CS475" s="5"/>
      <c r="CX475" s="7"/>
      <c r="DW475" s="5"/>
      <c r="DY475" s="7"/>
      <c r="EB475" s="7"/>
      <c r="ED475" s="88"/>
      <c r="EE475" s="88"/>
      <c r="EF475" s="88"/>
      <c r="EG475" s="88"/>
      <c r="EH475" s="88"/>
      <c r="EJ475" s="5"/>
      <c r="EK475" s="5"/>
      <c r="EL475" s="5"/>
      <c r="FA475" s="251"/>
    </row>
    <row r="476" spans="2:157" s="1" customFormat="1" ht="20.149999999999999" customHeight="1" x14ac:dyDescent="0.35">
      <c r="B476" s="187"/>
      <c r="C476" s="40"/>
      <c r="D476" s="40"/>
      <c r="E476" s="40"/>
      <c r="H476" s="5"/>
      <c r="N476" s="7"/>
      <c r="O476" s="7"/>
      <c r="P476" s="7"/>
      <c r="Q476" s="7"/>
      <c r="R476" s="7"/>
      <c r="S476" s="7"/>
      <c r="U476" s="7"/>
      <c r="W476" s="7"/>
      <c r="Y476" s="7"/>
      <c r="Z476" s="7"/>
      <c r="AE476" s="7"/>
      <c r="AF476" s="7"/>
      <c r="AG476" s="7"/>
      <c r="AH476" s="5"/>
      <c r="AJ476" s="5"/>
      <c r="AP476" s="7"/>
      <c r="AT476" s="7"/>
      <c r="AU476" s="8"/>
      <c r="AV476" s="8"/>
      <c r="AW476" s="7"/>
      <c r="AX476" s="8"/>
      <c r="AY476" s="7"/>
      <c r="AZ476" s="7"/>
      <c r="BA476" s="7"/>
      <c r="BB476" s="7"/>
      <c r="BC476" s="7"/>
      <c r="BD476" s="7"/>
      <c r="BE476" s="7"/>
      <c r="BF476" s="7"/>
      <c r="BG476" s="7"/>
      <c r="BH476" s="7"/>
      <c r="BI476" s="7"/>
      <c r="BJ476" s="7"/>
      <c r="BK476" s="7"/>
      <c r="BL476" s="7"/>
      <c r="BM476" s="7"/>
      <c r="BN476" s="7"/>
      <c r="BO476" s="7"/>
      <c r="BP476" s="7"/>
      <c r="BR476" s="7"/>
      <c r="BX476" s="7"/>
      <c r="BY476" s="7"/>
      <c r="BZ476" s="7"/>
      <c r="CA476" s="7"/>
      <c r="CB476" s="7"/>
      <c r="CL476" s="8"/>
      <c r="CS476" s="5"/>
      <c r="CX476" s="7"/>
      <c r="DW476" s="5"/>
      <c r="EB476" s="7"/>
      <c r="EJ476" s="5"/>
      <c r="EK476" s="5"/>
      <c r="EL476" s="5"/>
      <c r="FA476" s="251"/>
    </row>
    <row r="477" spans="2:157" s="1" customFormat="1" ht="20.149999999999999" customHeight="1" x14ac:dyDescent="0.35">
      <c r="B477" s="187"/>
      <c r="C477" s="40"/>
      <c r="D477" s="40"/>
      <c r="E477" s="40"/>
      <c r="H477" s="5"/>
      <c r="N477" s="7"/>
      <c r="O477" s="7"/>
      <c r="P477" s="7"/>
      <c r="Q477" s="7"/>
      <c r="R477" s="7"/>
      <c r="S477" s="7"/>
      <c r="U477" s="7"/>
      <c r="W477" s="7"/>
      <c r="Y477" s="7"/>
      <c r="Z477" s="7"/>
      <c r="AE477" s="7"/>
      <c r="AF477" s="7"/>
      <c r="AG477" s="7"/>
      <c r="AH477" s="5"/>
      <c r="AJ477" s="5"/>
      <c r="AP477" s="7"/>
      <c r="AT477" s="7"/>
      <c r="AU477" s="8"/>
      <c r="AV477" s="8"/>
      <c r="AW477" s="7"/>
      <c r="AX477" s="8"/>
      <c r="AY477" s="7"/>
      <c r="AZ477" s="7"/>
      <c r="BA477" s="7"/>
      <c r="BB477" s="7"/>
      <c r="BC477" s="7"/>
      <c r="BD477" s="7"/>
      <c r="BE477" s="7"/>
      <c r="BF477" s="7"/>
      <c r="BG477" s="7"/>
      <c r="BH477" s="7"/>
      <c r="BI477" s="7"/>
      <c r="BJ477" s="7"/>
      <c r="BK477" s="7"/>
      <c r="BL477" s="7"/>
      <c r="BM477" s="7"/>
      <c r="BN477" s="7"/>
      <c r="BO477" s="7"/>
      <c r="BP477" s="7"/>
      <c r="BR477" s="7"/>
      <c r="BX477" s="7"/>
      <c r="BY477" s="7"/>
      <c r="BZ477" s="7"/>
      <c r="CA477" s="7"/>
      <c r="CB477" s="7"/>
      <c r="CL477" s="8"/>
      <c r="CS477" s="5"/>
      <c r="CX477" s="7"/>
      <c r="DW477" s="5"/>
      <c r="EB477" s="7"/>
      <c r="EJ477" s="5"/>
      <c r="EK477" s="5"/>
      <c r="EL477" s="5"/>
      <c r="FA477" s="251"/>
    </row>
    <row r="478" spans="2:157" x14ac:dyDescent="0.35">
      <c r="EB478" s="6"/>
      <c r="FA478" s="251"/>
    </row>
    <row r="479" spans="2:157" x14ac:dyDescent="0.35">
      <c r="EB479" s="6"/>
      <c r="FA479" s="251"/>
    </row>
    <row r="480" spans="2:157" x14ac:dyDescent="0.35">
      <c r="EB480" s="6"/>
      <c r="FA480" s="251"/>
    </row>
    <row r="481" spans="132:157" x14ac:dyDescent="0.35">
      <c r="EB481" s="6"/>
      <c r="FA481" s="251"/>
    </row>
    <row r="482" spans="132:157" x14ac:dyDescent="0.35">
      <c r="EB482" s="6"/>
      <c r="FA482" s="251"/>
    </row>
    <row r="483" spans="132:157" x14ac:dyDescent="0.35">
      <c r="EB483" s="6"/>
      <c r="FA483" s="251"/>
    </row>
    <row r="484" spans="132:157" x14ac:dyDescent="0.35">
      <c r="EB484" s="6"/>
      <c r="FA484" s="251"/>
    </row>
    <row r="485" spans="132:157" x14ac:dyDescent="0.35">
      <c r="EB485" s="6"/>
      <c r="FA485" s="251"/>
    </row>
    <row r="486" spans="132:157" x14ac:dyDescent="0.35">
      <c r="FA486" s="251"/>
    </row>
    <row r="487" spans="132:157" x14ac:dyDescent="0.35">
      <c r="FA487" s="251"/>
    </row>
    <row r="488" spans="132:157" x14ac:dyDescent="0.35">
      <c r="FA488" s="251"/>
    </row>
    <row r="489" spans="132:157" x14ac:dyDescent="0.35">
      <c r="FA489" s="251"/>
    </row>
    <row r="490" spans="132:157" x14ac:dyDescent="0.35">
      <c r="FA490" s="251"/>
    </row>
    <row r="491" spans="132:157" x14ac:dyDescent="0.35">
      <c r="FA491" s="251"/>
    </row>
    <row r="492" spans="132:157" x14ac:dyDescent="0.35">
      <c r="FA492" s="251"/>
    </row>
    <row r="493" spans="132:157" x14ac:dyDescent="0.35">
      <c r="FA493" s="251"/>
    </row>
    <row r="494" spans="132:157" x14ac:dyDescent="0.35">
      <c r="FA494" s="251"/>
    </row>
    <row r="495" spans="132:157" x14ac:dyDescent="0.35">
      <c r="FA495" s="251"/>
    </row>
    <row r="496" spans="132:157" x14ac:dyDescent="0.35">
      <c r="FA496" s="251"/>
    </row>
    <row r="497" spans="157:157" x14ac:dyDescent="0.35">
      <c r="FA497" s="251"/>
    </row>
    <row r="498" spans="157:157" x14ac:dyDescent="0.35">
      <c r="FA498" s="251"/>
    </row>
    <row r="499" spans="157:157" x14ac:dyDescent="0.35">
      <c r="FA499" s="251"/>
    </row>
    <row r="500" spans="157:157" x14ac:dyDescent="0.35">
      <c r="FA500" s="251"/>
    </row>
    <row r="501" spans="157:157" x14ac:dyDescent="0.35">
      <c r="FA501" s="251"/>
    </row>
    <row r="502" spans="157:157" x14ac:dyDescent="0.35">
      <c r="FA502" s="251"/>
    </row>
    <row r="503" spans="157:157" x14ac:dyDescent="0.35">
      <c r="FA503" s="251"/>
    </row>
    <row r="504" spans="157:157" x14ac:dyDescent="0.35">
      <c r="FA504" s="251"/>
    </row>
    <row r="505" spans="157:157" x14ac:dyDescent="0.35">
      <c r="FA505" s="251"/>
    </row>
    <row r="506" spans="157:157" x14ac:dyDescent="0.35">
      <c r="FA506" s="251"/>
    </row>
    <row r="507" spans="157:157" x14ac:dyDescent="0.35">
      <c r="FA507" s="251"/>
    </row>
  </sheetData>
  <autoFilter ref="A2:FK215" xr:uid="{3704E0B5-B148-4711-9D8A-43230952AEE0}"/>
  <sortState xmlns:xlrd2="http://schemas.microsoft.com/office/spreadsheetml/2017/richdata2" ref="A3:G448">
    <sortCondition ref="A3:A448"/>
  </sortState>
  <phoneticPr fontId="11" type="noConversion"/>
  <conditionalFormatting sqref="A31:A36">
    <cfRule type="duplicateValues" dxfId="169" priority="5"/>
  </conditionalFormatting>
  <conditionalFormatting sqref="A86 A2:A14 A21:A24 A28:A30 A71:A83 A88:A89 A94:A95 A97 A153:A157 A225:A226 A280:A281 A285:A306 A308 A310 A314:A315 A319:A322 A361:A362 A387">
    <cfRule type="duplicateValues" dxfId="168" priority="75"/>
  </conditionalFormatting>
  <conditionalFormatting sqref="A87">
    <cfRule type="duplicateValues" dxfId="167" priority="2"/>
  </conditionalFormatting>
  <conditionalFormatting sqref="A90">
    <cfRule type="duplicateValues" dxfId="166" priority="63"/>
  </conditionalFormatting>
  <conditionalFormatting sqref="A91:A93 A100:A101">
    <cfRule type="duplicateValues" dxfId="165" priority="12"/>
  </conditionalFormatting>
  <conditionalFormatting sqref="A96">
    <cfRule type="duplicateValues" dxfId="164" priority="1"/>
  </conditionalFormatting>
  <conditionalFormatting sqref="A102:A107">
    <cfRule type="duplicateValues" dxfId="163" priority="10"/>
  </conditionalFormatting>
  <conditionalFormatting sqref="A108:A110">
    <cfRule type="duplicateValues" dxfId="162" priority="77"/>
  </conditionalFormatting>
  <conditionalFormatting sqref="A160:A161">
    <cfRule type="duplicateValues" dxfId="161" priority="96"/>
  </conditionalFormatting>
  <conditionalFormatting sqref="A282:A284">
    <cfRule type="duplicateValues" dxfId="160" priority="71"/>
  </conditionalFormatting>
  <conditionalFormatting sqref="A309">
    <cfRule type="duplicateValues" dxfId="159" priority="3"/>
  </conditionalFormatting>
  <conditionalFormatting sqref="A311:A313">
    <cfRule type="duplicateValues" dxfId="158" priority="9"/>
  </conditionalFormatting>
  <conditionalFormatting sqref="A432:A448 A37:A68">
    <cfRule type="duplicateValues" dxfId="157" priority="4"/>
  </conditionalFormatting>
  <pageMargins left="0.70866141732283472" right="0.31496062992125984" top="0.23622047244094491" bottom="0.23622047244094491" header="0.31496062992125984" footer="0.31496062992125984"/>
  <pageSetup paperSize="9" scale="10" orientation="landscape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585A2-0A18-4C3D-8EFA-D385795ED4AD}">
  <sheetPr codeName="Sheet67">
    <tabColor rgb="FFFFC000"/>
    <pageSetUpPr fitToPage="1"/>
  </sheetPr>
  <dimension ref="B1:P355"/>
  <sheetViews>
    <sheetView topLeftCell="A12" zoomScaleNormal="100" workbookViewId="0">
      <selection activeCell="B1" sqref="B1:L3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489</v>
      </c>
      <c r="J10" s="17" t="s">
        <v>26</v>
      </c>
      <c r="K10" s="455">
        <v>202311052</v>
      </c>
      <c r="L10" s="456"/>
      <c r="M10" s="60" t="s">
        <v>1382</v>
      </c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Hock Kee Coffee                                 Blk 682 Hougang Ave 4  #01-346  Singapore 530682</v>
      </c>
      <c r="G11" s="445"/>
      <c r="H11" s="446"/>
      <c r="J11" s="18" t="s">
        <v>9</v>
      </c>
      <c r="K11" s="460">
        <v>45232</v>
      </c>
      <c r="L11" s="461"/>
    </row>
    <row r="12" spans="2:14" ht="20.149999999999999" customHeight="1" x14ac:dyDescent="0.45">
      <c r="B12" s="462" t="s">
        <v>360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 t="s">
        <v>361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88" t="s">
        <v>1383</v>
      </c>
      <c r="C15" s="489"/>
      <c r="D15" s="490"/>
      <c r="E15" s="14"/>
      <c r="F15" s="450"/>
      <c r="G15" s="451"/>
      <c r="H15" s="452"/>
      <c r="J15" s="19" t="s">
        <v>11</v>
      </c>
      <c r="K15" s="483"/>
      <c r="L15" s="484"/>
      <c r="N15" s="69" t="s">
        <v>609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1080</v>
      </c>
      <c r="D18" s="430" t="str">
        <f>VLOOKUP(C18,'Sales Master'!B$3:D$644,2,0)</f>
        <v>Fine Sugar 白糖</v>
      </c>
      <c r="E18" s="430"/>
      <c r="F18" s="430"/>
      <c r="G18" s="45">
        <v>6</v>
      </c>
      <c r="H18" s="241" t="str">
        <f>VLOOKUP(C18,'Sales Master'!B$3:F$936,5,0)</f>
        <v>25 KGS</v>
      </c>
      <c r="I18" s="432" t="str">
        <f>VLOOKUP(C18,'Sales Master'!B$3:E$936,4,0)</f>
        <v>MITR PHOL</v>
      </c>
      <c r="J18" s="432"/>
      <c r="K18" s="22">
        <f>VLOOKUP(C18,'Sales Master'!$B3:$AI3019,34,0)</f>
        <v>34</v>
      </c>
      <c r="L18" s="71">
        <f>K18*G18</f>
        <v>204</v>
      </c>
      <c r="M18" s="60" t="s">
        <v>334</v>
      </c>
      <c r="N18" s="247">
        <f>VLOOKUP(C18,'Sales Master'!$B$3:$FA$3051,156,0)</f>
        <v>26.784000000000002</v>
      </c>
      <c r="O18" s="247">
        <f>K18-N18</f>
        <v>7.2159999999999975</v>
      </c>
      <c r="P18" s="247">
        <f>O18*G18</f>
        <v>43.295999999999985</v>
      </c>
    </row>
    <row r="19" spans="2:16" ht="20.149999999999999" customHeight="1" x14ac:dyDescent="0.45">
      <c r="B19" s="21"/>
      <c r="C19" s="338"/>
      <c r="D19" s="430"/>
      <c r="E19" s="430"/>
      <c r="F19" s="430"/>
      <c r="G19" s="45"/>
      <c r="H19" s="241"/>
      <c r="I19" s="432"/>
      <c r="J19" s="432"/>
      <c r="K19" s="22"/>
      <c r="L19" s="71"/>
      <c r="N19" s="247"/>
      <c r="O19" s="247"/>
      <c r="P19" s="247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  <c r="N20" s="247"/>
      <c r="O20" s="247"/>
      <c r="P20" s="247"/>
    </row>
    <row r="21" spans="2:16" ht="20.149999999999999" customHeight="1" x14ac:dyDescent="0.45">
      <c r="B21" s="21"/>
      <c r="C21" s="45"/>
      <c r="D21" s="69"/>
      <c r="E21" s="69"/>
      <c r="F21" s="69"/>
      <c r="G21" s="45"/>
      <c r="H21" s="65"/>
      <c r="I21" s="65"/>
      <c r="J21" s="65"/>
      <c r="K21" s="22"/>
      <c r="L21" s="71"/>
      <c r="N21" s="247"/>
      <c r="O21" s="247"/>
      <c r="P21" s="247"/>
    </row>
    <row r="22" spans="2:16" ht="20.149999999999999" customHeight="1" x14ac:dyDescent="0.45">
      <c r="B22" s="21"/>
      <c r="C22" s="305" t="s">
        <v>1738</v>
      </c>
      <c r="G22" s="233"/>
      <c r="H22" s="65"/>
      <c r="I22" s="65"/>
      <c r="J22" s="65"/>
      <c r="K22" s="22"/>
      <c r="L22" s="71"/>
      <c r="N22" s="247"/>
      <c r="O22" s="247"/>
      <c r="P22" s="247"/>
    </row>
    <row r="23" spans="2:16" ht="20.149999999999999" customHeight="1" x14ac:dyDescent="0.45">
      <c r="B23" s="21"/>
      <c r="C23" s="338" t="s">
        <v>1080</v>
      </c>
      <c r="D23" s="430" t="str">
        <f>VLOOKUP(C23,'Sales Master'!B$3:D$644,2,0)</f>
        <v>Fine Sugar 白糖</v>
      </c>
      <c r="E23" s="430"/>
      <c r="F23" s="430"/>
      <c r="G23" s="233">
        <v>1</v>
      </c>
      <c r="H23" s="241" t="str">
        <f>VLOOKUP(C23,'Sales Master'!B$3:F$936,5,0)</f>
        <v>25 KGS</v>
      </c>
      <c r="I23" s="432" t="str">
        <f>VLOOKUP(C23,'Sales Master'!B$3:E$936,4,0)</f>
        <v>MITR PHOL</v>
      </c>
      <c r="J23" s="432"/>
      <c r="K23" s="22">
        <v>34</v>
      </c>
      <c r="L23" s="71"/>
    </row>
    <row r="24" spans="2:16" ht="20.149999999999999" customHeight="1" x14ac:dyDescent="0.45">
      <c r="B24" s="21"/>
      <c r="C24" s="45"/>
      <c r="D24" s="69"/>
      <c r="E24" s="69"/>
      <c r="F24" s="69"/>
      <c r="G24" s="45"/>
      <c r="H24" s="65"/>
      <c r="I24" s="65"/>
      <c r="J24" s="65"/>
      <c r="K24" s="22"/>
      <c r="L24" s="71"/>
    </row>
    <row r="25" spans="2:16" ht="20.149999999999999" customHeight="1" thickBot="1" x14ac:dyDescent="0.5">
      <c r="B25" s="24"/>
      <c r="C25" s="25"/>
      <c r="D25" s="473"/>
      <c r="E25" s="473"/>
      <c r="F25" s="473"/>
      <c r="G25" s="25"/>
      <c r="H25" s="66"/>
      <c r="I25" s="66"/>
      <c r="J25" s="66"/>
      <c r="K25" s="26"/>
      <c r="L25" s="27"/>
    </row>
    <row r="26" spans="2:16" ht="20.149999999999999" customHeight="1" thickBot="1" x14ac:dyDescent="0.5">
      <c r="B26" s="28"/>
      <c r="L26" s="29"/>
    </row>
    <row r="27" spans="2:16" ht="20.149999999999999" customHeight="1" x14ac:dyDescent="0.45">
      <c r="B27" s="11" t="s">
        <v>16</v>
      </c>
      <c r="C27" s="10"/>
      <c r="D27" s="10"/>
      <c r="E27" s="10"/>
      <c r="F27" s="10"/>
      <c r="G27" s="10"/>
      <c r="H27" s="10"/>
      <c r="I27" s="10"/>
      <c r="J27" s="474" t="s">
        <v>13</v>
      </c>
      <c r="K27" s="475"/>
      <c r="L27" s="30">
        <f>SUM(L18:L26)</f>
        <v>204</v>
      </c>
      <c r="M27" s="95">
        <f>SUM(P18:P25)-L28*0.02</f>
        <v>42.993777777777765</v>
      </c>
      <c r="N27" s="248">
        <f>M27/L27</f>
        <v>0.21075381263616552</v>
      </c>
    </row>
    <row r="28" spans="2:16" ht="20.149999999999999" customHeight="1" x14ac:dyDescent="0.45">
      <c r="B28" s="11" t="s">
        <v>17</v>
      </c>
      <c r="C28" s="10"/>
      <c r="D28" s="10"/>
      <c r="E28" s="10"/>
      <c r="F28" s="10"/>
      <c r="G28" s="10"/>
      <c r="H28" s="10"/>
      <c r="I28" s="10"/>
      <c r="J28" s="110" t="s">
        <v>553</v>
      </c>
      <c r="K28" s="113">
        <v>6.54E-2</v>
      </c>
      <c r="L28" s="32">
        <f>L30</f>
        <v>15.111111111111111</v>
      </c>
    </row>
    <row r="29" spans="2:16" ht="20.149999999999999" customHeight="1" x14ac:dyDescent="0.45">
      <c r="B29" s="11" t="s">
        <v>18</v>
      </c>
      <c r="C29" s="10"/>
      <c r="D29" s="10"/>
      <c r="E29" s="10"/>
      <c r="F29" s="10"/>
      <c r="G29" s="10"/>
      <c r="H29" s="10"/>
      <c r="I29" s="10"/>
      <c r="J29" s="476" t="s">
        <v>555</v>
      </c>
      <c r="K29" s="477"/>
      <c r="L29" s="114">
        <f>L27/108*100</f>
        <v>188.88888888888889</v>
      </c>
    </row>
    <row r="30" spans="2:16" ht="20.149999999999999" customHeight="1" x14ac:dyDescent="0.45">
      <c r="B30" s="11" t="s">
        <v>22</v>
      </c>
      <c r="C30" s="10"/>
      <c r="D30" s="10"/>
      <c r="E30" s="10"/>
      <c r="F30" s="10"/>
      <c r="G30" s="10"/>
      <c r="H30" s="10"/>
      <c r="I30" s="10"/>
      <c r="J30" s="111" t="s">
        <v>554</v>
      </c>
      <c r="K30" s="112">
        <v>0.08</v>
      </c>
      <c r="L30" s="44">
        <f>L29*K30</f>
        <v>15.111111111111111</v>
      </c>
    </row>
    <row r="31" spans="2:16" ht="20.149999999999999" customHeight="1" thickBot="1" x14ac:dyDescent="0.5">
      <c r="B31" s="11" t="s">
        <v>748</v>
      </c>
      <c r="C31" s="10"/>
      <c r="D31" s="10"/>
      <c r="E31" s="10"/>
      <c r="F31" s="10"/>
      <c r="G31" s="10"/>
      <c r="H31" s="10"/>
      <c r="I31" s="10"/>
      <c r="J31" s="478" t="s">
        <v>21</v>
      </c>
      <c r="K31" s="479"/>
      <c r="L31" s="33">
        <f>L29+L30</f>
        <v>204</v>
      </c>
    </row>
    <row r="32" spans="2:16" ht="20.149999999999999" customHeight="1" x14ac:dyDescent="0.45">
      <c r="B32" s="11" t="s">
        <v>23</v>
      </c>
      <c r="C32" s="10"/>
      <c r="D32" s="10"/>
      <c r="E32" s="10"/>
      <c r="F32" s="10"/>
      <c r="G32" s="10"/>
      <c r="H32" s="10"/>
      <c r="I32" s="10"/>
      <c r="L32" s="29"/>
    </row>
    <row r="33" spans="2:12" ht="20.149999999999999" customHeight="1" x14ac:dyDescent="0.45">
      <c r="B33" s="183" t="s">
        <v>749</v>
      </c>
      <c r="L33" s="29"/>
    </row>
    <row r="34" spans="2:12" ht="20.149999999999999" customHeight="1" x14ac:dyDescent="0.45">
      <c r="B34" s="28"/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34"/>
      <c r="C37" s="35"/>
      <c r="D37" s="35"/>
      <c r="J37" s="35"/>
      <c r="K37" s="35"/>
      <c r="L37" s="36"/>
    </row>
    <row r="38" spans="2:12" ht="20.149999999999999" customHeight="1" x14ac:dyDescent="0.45">
      <c r="B38" s="28" t="s">
        <v>24</v>
      </c>
      <c r="J38" s="60" t="s">
        <v>25</v>
      </c>
      <c r="L38" s="29"/>
    </row>
    <row r="39" spans="2:12" ht="19" thickBot="1" x14ac:dyDescent="0.5">
      <c r="B39" s="37"/>
      <c r="C39" s="62"/>
      <c r="D39" s="62"/>
      <c r="E39" s="62"/>
      <c r="F39" s="62"/>
      <c r="G39" s="62"/>
      <c r="H39" s="62"/>
      <c r="I39" s="62"/>
      <c r="J39" s="62"/>
      <c r="K39" s="62"/>
      <c r="L39" s="38"/>
    </row>
    <row r="354" spans="8:8" x14ac:dyDescent="0.45">
      <c r="H354" s="60">
        <v>24.8</v>
      </c>
    </row>
    <row r="355" spans="8:8" x14ac:dyDescent="0.45">
      <c r="H355" s="60">
        <v>24.8</v>
      </c>
    </row>
  </sheetData>
  <mergeCells count="25">
    <mergeCell ref="K13:L13"/>
    <mergeCell ref="D19:F19"/>
    <mergeCell ref="I19:J19"/>
    <mergeCell ref="J29:K29"/>
    <mergeCell ref="J31:K31"/>
    <mergeCell ref="D25:F25"/>
    <mergeCell ref="J27:K27"/>
    <mergeCell ref="I23:J23"/>
    <mergeCell ref="D23:F23"/>
    <mergeCell ref="B1:L8"/>
    <mergeCell ref="D17:F17"/>
    <mergeCell ref="I17:J17"/>
    <mergeCell ref="D18:F18"/>
    <mergeCell ref="I18:J18"/>
    <mergeCell ref="K10:L10"/>
    <mergeCell ref="B11:D11"/>
    <mergeCell ref="F11:H15"/>
    <mergeCell ref="B14:D14"/>
    <mergeCell ref="K14:L14"/>
    <mergeCell ref="B15:D15"/>
    <mergeCell ref="K15:L15"/>
    <mergeCell ref="K11:L11"/>
    <mergeCell ref="B12:D12"/>
    <mergeCell ref="K12:L12"/>
    <mergeCell ref="B13:D13"/>
  </mergeCells>
  <conditionalFormatting sqref="C22">
    <cfRule type="duplicateValues" dxfId="141" priority="1"/>
  </conditionalFormatting>
  <pageMargins left="0.70866141732283472" right="0.31496062992125984" top="0.59055118110236227" bottom="0" header="0.31496062992125984" footer="0.31496062992125984"/>
  <pageSetup paperSize="9" scale="75" fitToHeight="0" orientation="portrait" horizontalDpi="300" verticalDpi="30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F3659-8F46-42BB-AC02-F433DE2547FE}">
  <sheetPr codeName="Sheet86">
    <tabColor rgb="FF92D050"/>
    <pageSetUpPr fitToPage="1"/>
  </sheetPr>
  <dimension ref="B1:P43"/>
  <sheetViews>
    <sheetView topLeftCell="A23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600</v>
      </c>
      <c r="J10" s="17" t="s">
        <v>26</v>
      </c>
      <c r="K10" s="455">
        <v>202310539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Pin Pin Coffee Stall                                            Hong Lim Market &amp; Food Centre.        Blk 531 Upper Cross Street   #02-43 Singapore 051531</v>
      </c>
      <c r="G11" s="445"/>
      <c r="H11" s="446"/>
      <c r="J11" s="18" t="s">
        <v>9</v>
      </c>
      <c r="K11" s="460">
        <v>45222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377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1080</v>
      </c>
      <c r="D18" s="430" t="str">
        <f>VLOOKUP(C18,'Sales Master'!B$3:D$643,2,0)</f>
        <v>Fine Sugar 白糖</v>
      </c>
      <c r="E18" s="430"/>
      <c r="F18" s="430"/>
      <c r="G18" s="45">
        <v>1</v>
      </c>
      <c r="H18" s="241" t="str">
        <f>VLOOKUP(C18,'Sales Master'!B$3:F$936,5,0)</f>
        <v>25 KGS</v>
      </c>
      <c r="I18" s="432" t="str">
        <f>VLOOKUP(C18,'Sales Master'!B$3:E$936,4,0)</f>
        <v>MITR PHOL</v>
      </c>
      <c r="J18" s="432"/>
      <c r="K18" s="22">
        <f>VLOOKUP(C18,'Sales Master'!B$3:N$527,13,0)</f>
        <v>34</v>
      </c>
      <c r="L18" s="71">
        <f>K18*G18</f>
        <v>34</v>
      </c>
      <c r="N18" s="247">
        <f>VLOOKUP(C18,'Sales Master'!$B$3:$FA$3051,156,0)</f>
        <v>26.784000000000002</v>
      </c>
      <c r="O18" s="247">
        <f>K18-N18</f>
        <v>7.2159999999999975</v>
      </c>
      <c r="P18" s="247">
        <f>O18*G18</f>
        <v>7.2159999999999975</v>
      </c>
    </row>
    <row r="19" spans="2:16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  <c r="N19" s="247"/>
      <c r="O19" s="247"/>
      <c r="P19" s="247"/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  <c r="N20" s="247"/>
      <c r="O20" s="247"/>
      <c r="P20" s="247"/>
    </row>
    <row r="21" spans="2:16" ht="20.149999999999999" customHeight="1" x14ac:dyDescent="0.45">
      <c r="B21" s="70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6" ht="20" customHeight="1" x14ac:dyDescent="0.45">
      <c r="B22" s="21"/>
      <c r="C22" s="305" t="s">
        <v>1736</v>
      </c>
      <c r="E22" s="69"/>
      <c r="F22" s="69"/>
      <c r="G22" s="99"/>
      <c r="H22" s="65"/>
      <c r="I22" s="65"/>
      <c r="J22" s="65"/>
      <c r="K22" s="22"/>
      <c r="L22" s="71"/>
    </row>
    <row r="23" spans="2:16" ht="20.149999999999999" customHeight="1" x14ac:dyDescent="0.45">
      <c r="B23" s="21"/>
      <c r="C23" s="338" t="s">
        <v>1080</v>
      </c>
      <c r="D23" s="430" t="str">
        <f>VLOOKUP(C23,'Sales Master'!B$3:D$643,2,0)</f>
        <v>Fine Sugar 白糖</v>
      </c>
      <c r="E23" s="430"/>
      <c r="F23" s="430"/>
      <c r="G23" s="99">
        <v>1</v>
      </c>
      <c r="H23" s="206" t="str">
        <f>VLOOKUP(C23,'Sales Master'!B$3:F$936,5,0)</f>
        <v>25 KGS</v>
      </c>
      <c r="I23" s="432" t="str">
        <f>VLOOKUP(C23,'Sales Master'!B$3:E$936,4,0)</f>
        <v>MITR PHOL</v>
      </c>
      <c r="J23" s="432"/>
      <c r="K23" s="22">
        <v>34</v>
      </c>
      <c r="L23" s="71"/>
    </row>
    <row r="24" spans="2:16" ht="20.149999999999999" customHeight="1" x14ac:dyDescent="0.45">
      <c r="B24" s="21"/>
      <c r="C24" s="140"/>
      <c r="G24" s="45"/>
      <c r="H24" s="65"/>
      <c r="I24" s="431"/>
      <c r="J24" s="431"/>
      <c r="K24" s="96"/>
      <c r="L24" s="71"/>
    </row>
    <row r="25" spans="2:16" ht="20.149999999999999" customHeight="1" x14ac:dyDescent="0.45">
      <c r="B25" s="21"/>
      <c r="C25" s="45"/>
      <c r="D25" s="430"/>
      <c r="E25" s="430"/>
      <c r="F25" s="430"/>
      <c r="G25" s="45"/>
      <c r="H25" s="65"/>
      <c r="I25" s="431"/>
      <c r="J25" s="431"/>
      <c r="K25" s="96"/>
      <c r="L25" s="71"/>
    </row>
    <row r="26" spans="2:16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6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  <c r="M27" s="95"/>
      <c r="N27" s="248"/>
    </row>
    <row r="28" spans="2:16" ht="20.149999999999999" customHeight="1" x14ac:dyDescent="0.45">
      <c r="B28" s="21"/>
      <c r="C28" s="45"/>
      <c r="D28" s="503"/>
      <c r="E28" s="503"/>
      <c r="F28" s="503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SUM(L15:L30)</f>
        <v>34</v>
      </c>
      <c r="M31" s="95">
        <f>SUM(P18:P29)-L31*0.02</f>
        <v>6.5359999999999978</v>
      </c>
      <c r="N31" s="405">
        <f>M31-L32</f>
        <v>4.0174814814814788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L34</f>
        <v>2.5185185185185186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L31/108*100</f>
        <v>31.481481481481481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0.08</v>
      </c>
      <c r="L34" s="44">
        <f>L33*K34</f>
        <v>2.5185185185185186</v>
      </c>
    </row>
    <row r="35" spans="2:12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34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83" t="s">
        <v>749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7">
    <mergeCell ref="D29:F29"/>
    <mergeCell ref="J31:K31"/>
    <mergeCell ref="J33:K33"/>
    <mergeCell ref="J35:K35"/>
    <mergeCell ref="D27:F27"/>
    <mergeCell ref="I27:J27"/>
    <mergeCell ref="D28:F28"/>
    <mergeCell ref="D25:F25"/>
    <mergeCell ref="I25:J25"/>
    <mergeCell ref="D26:F26"/>
    <mergeCell ref="I26:J26"/>
    <mergeCell ref="D23:F23"/>
    <mergeCell ref="I23:J23"/>
    <mergeCell ref="I24:J24"/>
    <mergeCell ref="D21:F21"/>
    <mergeCell ref="I21:J21"/>
    <mergeCell ref="D20:F20"/>
    <mergeCell ref="I20:J20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3" priority="1"/>
  </conditionalFormatting>
  <conditionalFormatting sqref="C23">
    <cfRule type="duplicateValues" dxfId="2" priority="2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3B1A1-27A9-43D3-936A-DEF1649805F6}">
  <sheetPr codeName="Sheet93">
    <tabColor rgb="FF92D050"/>
    <pageSetUpPr fitToPage="1"/>
  </sheetPr>
  <dimension ref="B1:P43"/>
  <sheetViews>
    <sheetView topLeftCell="C1" workbookViewId="0">
      <selection activeCell="M31" sqref="M3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450</v>
      </c>
      <c r="J10" s="17" t="s">
        <v>26</v>
      </c>
      <c r="K10" s="455">
        <v>202209305</v>
      </c>
      <c r="L10" s="456"/>
    </row>
    <row r="11" spans="2:12" ht="20.149999999999999" customHeight="1" x14ac:dyDescent="0.45">
      <c r="B11" s="480" t="s">
        <v>340</v>
      </c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>
        <v>44824</v>
      </c>
      <c r="L11" s="466"/>
    </row>
    <row r="12" spans="2:12" ht="20.149999999999999" customHeight="1" x14ac:dyDescent="0.45">
      <c r="B12" s="462" t="s">
        <v>254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 t="s">
        <v>255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 t="s">
        <v>339</v>
      </c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862</v>
      </c>
      <c r="D18" s="430" t="str">
        <f>VLOOKUP(C18,'Sales Master'!B$3:D$316,2,0)</f>
        <v>Fresh Soursop Seedless 红毛榴莲(无)</v>
      </c>
      <c r="E18" s="430"/>
      <c r="F18" s="430"/>
      <c r="G18" s="45">
        <v>4</v>
      </c>
      <c r="H18" s="65" t="str">
        <f>VLOOKUP(C18,'Sales Master'!B$3:F$936,5,0)</f>
        <v>Box/盒</v>
      </c>
      <c r="I18" s="431" t="str">
        <f>VLOOKUP(C18,'Sales Master'!B$3:E$936,4,0)</f>
        <v>DO!</v>
      </c>
      <c r="J18" s="431"/>
      <c r="K18" s="22">
        <f>VLOOKUP(C18,'Sales Master'!B$8:R$936,17,0)</f>
        <v>10</v>
      </c>
      <c r="L18" s="23">
        <f>K18*G18</f>
        <v>40</v>
      </c>
      <c r="N18" s="247">
        <f>VLOOKUP(C18,'Sales Master'!$B$3:$FA$3051,156,0)</f>
        <v>5.13</v>
      </c>
      <c r="O18" s="247">
        <f>K18-N18</f>
        <v>4.87</v>
      </c>
      <c r="P18" s="247">
        <f>O18*G18</f>
        <v>19.48</v>
      </c>
    </row>
    <row r="19" spans="2:16" ht="20.149999999999999" customHeight="1" x14ac:dyDescent="0.45">
      <c r="B19" s="21"/>
      <c r="C19" s="45" t="s">
        <v>821</v>
      </c>
      <c r="D19" s="430" t="str">
        <f>VLOOKUP(C19,'Sales Master'!B$3:D$316,2,0)</f>
        <v>Mango Puree 芒果浆</v>
      </c>
      <c r="E19" s="430"/>
      <c r="F19" s="430"/>
      <c r="G19" s="45">
        <v>8</v>
      </c>
      <c r="H19" s="65" t="str">
        <f>VLOOKUP(C19,'Sales Master'!B$3:F$936,5,0)</f>
        <v>Box/盒</v>
      </c>
      <c r="I19" s="431" t="str">
        <f>VLOOKUP(C19,'Sales Master'!B$3:E$936,4,0)</f>
        <v>DO!</v>
      </c>
      <c r="J19" s="431"/>
      <c r="K19" s="22">
        <f>VLOOKUP(C19,'Sales Master'!B$8:R$936,17,0)</f>
        <v>7</v>
      </c>
      <c r="L19" s="23">
        <f>K19*G19</f>
        <v>56</v>
      </c>
      <c r="N19" s="247">
        <f>VLOOKUP(C19,'Sales Master'!$B$3:$FA$3051,156,0)</f>
        <v>2.15</v>
      </c>
      <c r="O19" s="247">
        <f>K19-N19</f>
        <v>4.8499999999999996</v>
      </c>
      <c r="P19" s="247">
        <f>O19*G19</f>
        <v>38.799999999999997</v>
      </c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23"/>
    </row>
    <row r="21" spans="2:16" ht="20.149999999999999" customHeight="1" x14ac:dyDescent="0.45">
      <c r="B21" s="21"/>
      <c r="C21" s="45"/>
      <c r="D21" s="503"/>
      <c r="E21" s="503"/>
      <c r="F21" s="503"/>
      <c r="G21" s="45"/>
      <c r="H21" s="65"/>
      <c r="I21" s="431"/>
      <c r="J21" s="431"/>
      <c r="K21" s="22"/>
      <c r="L21" s="23"/>
    </row>
    <row r="22" spans="2:16" ht="20.149999999999999" customHeight="1" x14ac:dyDescent="0.45">
      <c r="B22" s="21"/>
      <c r="C22" s="45"/>
      <c r="D22" s="503"/>
      <c r="E22" s="503"/>
      <c r="F22" s="503"/>
      <c r="G22" s="45"/>
      <c r="H22" s="65"/>
      <c r="I22" s="431"/>
      <c r="J22" s="431"/>
      <c r="K22" s="22"/>
      <c r="L22" s="23"/>
    </row>
    <row r="23" spans="2:16" ht="20.149999999999999" customHeight="1" x14ac:dyDescent="0.45">
      <c r="B23" s="21"/>
      <c r="C23" s="45"/>
      <c r="D23" s="503"/>
      <c r="E23" s="503"/>
      <c r="F23" s="503"/>
      <c r="G23" s="45"/>
      <c r="H23" s="65"/>
      <c r="I23" s="431"/>
      <c r="J23" s="431"/>
      <c r="K23" s="22"/>
      <c r="L23" s="23"/>
    </row>
    <row r="24" spans="2:16" ht="20.149999999999999" customHeight="1" x14ac:dyDescent="0.45">
      <c r="B24" s="21"/>
      <c r="C24" s="45"/>
      <c r="D24" s="503"/>
      <c r="E24" s="503"/>
      <c r="F24" s="503"/>
      <c r="G24" s="45"/>
      <c r="H24" s="65"/>
      <c r="I24" s="431"/>
      <c r="J24" s="431"/>
      <c r="K24" s="22"/>
      <c r="L24" s="23"/>
    </row>
    <row r="25" spans="2:16" ht="20.149999999999999" customHeight="1" x14ac:dyDescent="0.45">
      <c r="B25" s="21"/>
      <c r="C25" s="45"/>
      <c r="D25" s="503"/>
      <c r="E25" s="503"/>
      <c r="F25" s="503"/>
      <c r="G25" s="45"/>
      <c r="H25" s="65"/>
      <c r="I25" s="431"/>
      <c r="J25" s="431"/>
      <c r="K25" s="22"/>
      <c r="L25" s="23"/>
    </row>
    <row r="26" spans="2:16" ht="20.149999999999999" customHeight="1" x14ac:dyDescent="0.45">
      <c r="B26" s="21"/>
      <c r="C26" s="45"/>
      <c r="D26" s="503"/>
      <c r="E26" s="503"/>
      <c r="F26" s="503"/>
      <c r="G26" s="45"/>
      <c r="H26" s="65"/>
      <c r="I26" s="431"/>
      <c r="J26" s="431"/>
      <c r="K26" s="22"/>
      <c r="L26" s="23"/>
    </row>
    <row r="27" spans="2:16" ht="20.149999999999999" customHeight="1" x14ac:dyDescent="0.45">
      <c r="B27" s="21"/>
      <c r="C27" s="45"/>
      <c r="D27" s="503"/>
      <c r="E27" s="503"/>
      <c r="F27" s="503"/>
      <c r="G27" s="45"/>
      <c r="H27" s="65"/>
      <c r="I27" s="431"/>
      <c r="J27" s="431"/>
      <c r="K27" s="22"/>
      <c r="L27" s="23"/>
    </row>
    <row r="28" spans="2:16" ht="20.149999999999999" customHeight="1" x14ac:dyDescent="0.45">
      <c r="B28" s="21"/>
      <c r="C28" s="45"/>
      <c r="D28" s="503"/>
      <c r="E28" s="503"/>
      <c r="F28" s="503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SUM(L17:L30)</f>
        <v>96</v>
      </c>
      <c r="M31" s="95">
        <f>SUM(P18:P28)</f>
        <v>58.28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L34</f>
        <v>6.2803738317757016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L31/107*100</f>
        <v>89.719626168224295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7.0000000000000007E-2</v>
      </c>
      <c r="L34" s="44">
        <f>L33*K34</f>
        <v>6.2803738317757016</v>
      </c>
    </row>
    <row r="35" spans="2:12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96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83" t="s">
        <v>749</v>
      </c>
      <c r="L37" s="29" t="s">
        <v>334</v>
      </c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9">
    <mergeCell ref="D20:F20"/>
    <mergeCell ref="I20:J20"/>
    <mergeCell ref="D21:F21"/>
    <mergeCell ref="I21:J21"/>
    <mergeCell ref="D22:F22"/>
    <mergeCell ref="D17:F17"/>
    <mergeCell ref="I17:J17"/>
    <mergeCell ref="D18:F18"/>
    <mergeCell ref="I18:J18"/>
    <mergeCell ref="D19:F19"/>
    <mergeCell ref="I19:J19"/>
    <mergeCell ref="D24:F24"/>
    <mergeCell ref="D25:F25"/>
    <mergeCell ref="D26:F26"/>
    <mergeCell ref="D27:F27"/>
    <mergeCell ref="I22:J22"/>
    <mergeCell ref="I23:J23"/>
    <mergeCell ref="I24:J24"/>
    <mergeCell ref="I25:J25"/>
    <mergeCell ref="I26:J26"/>
    <mergeCell ref="I27:J27"/>
    <mergeCell ref="D23:F23"/>
    <mergeCell ref="J35:K35"/>
    <mergeCell ref="D28:F28"/>
    <mergeCell ref="D29:F29"/>
    <mergeCell ref="J31:K31"/>
    <mergeCell ref="J33:K3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rintOptions horizontalCentered="1"/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71CC4-4B20-4F2A-9420-DBDD4AB09FD5}">
  <sheetPr codeName="Sheet102">
    <tabColor rgb="FFFF0000"/>
    <pageSetUpPr fitToPage="1"/>
  </sheetPr>
  <dimension ref="B1:P43"/>
  <sheetViews>
    <sheetView topLeftCell="B26" zoomScaleNormal="100" workbookViewId="0">
      <selection activeCell="G36" sqref="G3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486</v>
      </c>
      <c r="J10" s="17" t="s">
        <v>26</v>
      </c>
      <c r="K10" s="455">
        <v>202307326</v>
      </c>
      <c r="L10" s="456"/>
    </row>
    <row r="11" spans="2:12" ht="20.149999999999999" customHeight="1" x14ac:dyDescent="0.45">
      <c r="B11" s="480" t="s">
        <v>365</v>
      </c>
      <c r="C11" s="481"/>
      <c r="D11" s="482"/>
      <c r="E11" s="61"/>
      <c r="F11" s="444" t="str">
        <f>VLOOKUP(H10,'Delivery Location'!A$4:N$423,2,0)</f>
        <v>Take Away Bubble Tea Shop                             Blk 188C Bedok North St. 4 #04-90 Singapore 463188</v>
      </c>
      <c r="G11" s="445"/>
      <c r="H11" s="446"/>
      <c r="J11" s="18" t="s">
        <v>9</v>
      </c>
      <c r="K11" s="460">
        <v>45124</v>
      </c>
      <c r="L11" s="461"/>
    </row>
    <row r="12" spans="2:12" ht="20.149999999999999" customHeight="1" x14ac:dyDescent="0.45">
      <c r="B12" s="462" t="s">
        <v>1494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 t="s">
        <v>1495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 t="s">
        <v>1496</v>
      </c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1024</v>
      </c>
      <c r="D18" s="430" t="str">
        <f>VLOOKUP(C18,'Sales Master'!B$3:D$316,2,0)</f>
        <v>Nata 椰果芊 5mm</v>
      </c>
      <c r="E18" s="430"/>
      <c r="F18" s="430"/>
      <c r="G18" s="45">
        <v>12</v>
      </c>
      <c r="H18" s="65" t="str">
        <f>VLOOKUP(C18,'Sales Master'!B$3:F$936,5,0)</f>
        <v>1 Can X A10</v>
      </c>
      <c r="I18" s="431" t="str">
        <f>VLOOKUP(C18,'Sales Master'!B$3:E$936,4,0)</f>
        <v>Chefs</v>
      </c>
      <c r="J18" s="431"/>
      <c r="K18" s="22">
        <f>VLOOKUP(C18,'Sales Master'!B$3:DE$527,108,0)</f>
        <v>10.5</v>
      </c>
      <c r="L18" s="71">
        <f>K18*G18</f>
        <v>126</v>
      </c>
      <c r="N18" s="247">
        <f>VLOOKUP(C18,'[1]Sales Master'!$B$4:$DA$3031,104,0)</f>
        <v>7.666666666666667</v>
      </c>
      <c r="O18" s="247">
        <f>K18-N18</f>
        <v>2.833333333333333</v>
      </c>
      <c r="P18" s="247">
        <f>O18*G18</f>
        <v>34</v>
      </c>
    </row>
    <row r="19" spans="2:16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</row>
    <row r="21" spans="2:16" ht="20.149999999999999" customHeight="1" x14ac:dyDescent="0.45">
      <c r="B21" s="21"/>
      <c r="C21" s="45"/>
      <c r="D21" s="69"/>
      <c r="E21" s="69"/>
      <c r="F21" s="69"/>
      <c r="G21" s="45"/>
      <c r="H21" s="65"/>
      <c r="I21" s="65"/>
      <c r="J21" s="65"/>
      <c r="K21" s="22"/>
      <c r="L21" s="71"/>
    </row>
    <row r="22" spans="2:16" ht="20.149999999999999" customHeight="1" x14ac:dyDescent="0.45">
      <c r="B22" s="21"/>
      <c r="C22" s="45"/>
      <c r="D22" s="69"/>
      <c r="E22" s="69"/>
      <c r="F22" s="69"/>
      <c r="G22" s="45"/>
      <c r="H22" s="65"/>
      <c r="I22" s="65"/>
      <c r="J22" s="65"/>
      <c r="K22" s="22"/>
      <c r="L22" s="71"/>
    </row>
    <row r="23" spans="2:16" ht="20.149999999999999" customHeight="1" x14ac:dyDescent="0.45">
      <c r="B23" s="21"/>
      <c r="C23" s="45"/>
      <c r="D23" s="69"/>
      <c r="E23" s="69"/>
      <c r="F23" s="69"/>
      <c r="G23" s="45"/>
      <c r="H23" s="65"/>
      <c r="I23" s="65"/>
      <c r="J23" s="65"/>
      <c r="K23" s="22"/>
      <c r="L23" s="71"/>
    </row>
    <row r="24" spans="2:16" ht="20.149999999999999" customHeight="1" x14ac:dyDescent="0.45">
      <c r="B24" s="21"/>
      <c r="C24" s="45"/>
      <c r="D24" s="69"/>
      <c r="E24" s="69"/>
      <c r="F24" s="69"/>
      <c r="G24" s="45"/>
      <c r="H24" s="65"/>
      <c r="I24" s="65"/>
      <c r="J24" s="65"/>
      <c r="K24" s="22"/>
      <c r="L24" s="71"/>
    </row>
    <row r="25" spans="2:16" ht="20.149999999999999" customHeight="1" x14ac:dyDescent="0.45">
      <c r="B25" s="21"/>
      <c r="C25" s="45"/>
      <c r="D25" s="69"/>
      <c r="E25" s="69"/>
      <c r="F25" s="69"/>
      <c r="G25" s="45"/>
      <c r="H25" s="65"/>
      <c r="I25" s="65"/>
      <c r="J25" s="65"/>
      <c r="K25" s="22"/>
      <c r="L25" s="71"/>
    </row>
    <row r="26" spans="2:16" ht="20.149999999999999" customHeight="1" x14ac:dyDescent="0.45">
      <c r="B26" s="21"/>
      <c r="C26" s="45"/>
      <c r="D26" s="69"/>
      <c r="E26" s="69"/>
      <c r="F26" s="69"/>
      <c r="G26" s="45"/>
      <c r="H26" s="65"/>
      <c r="I26" s="65"/>
      <c r="J26" s="65"/>
      <c r="K26" s="22"/>
      <c r="L26" s="71"/>
    </row>
    <row r="27" spans="2:16" ht="20.149999999999999" customHeight="1" x14ac:dyDescent="0.45">
      <c r="B27" s="21"/>
      <c r="C27" s="45"/>
      <c r="D27" s="69"/>
      <c r="E27" s="69"/>
      <c r="F27" s="69"/>
      <c r="G27" s="45"/>
      <c r="H27" s="65"/>
      <c r="I27" s="65"/>
      <c r="J27" s="65"/>
      <c r="K27" s="22"/>
      <c r="L27" s="71"/>
    </row>
    <row r="28" spans="2:16" ht="20.149999999999999" customHeight="1" x14ac:dyDescent="0.45">
      <c r="B28" s="21"/>
      <c r="C28" s="45"/>
      <c r="D28" s="503"/>
      <c r="E28" s="503"/>
      <c r="F28" s="503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SUM(L18:L30)</f>
        <v>126</v>
      </c>
      <c r="M31" s="95">
        <f>P18-(L31*0.02)</f>
        <v>31.48</v>
      </c>
      <c r="N31" s="248">
        <f>M31/L31</f>
        <v>0.24984126984126984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L34</f>
        <v>9.3333333333333339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L31/108*100</f>
        <v>116.66666666666667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0.08</v>
      </c>
      <c r="L34" s="44">
        <f>L33*K34</f>
        <v>9.3333333333333339</v>
      </c>
    </row>
    <row r="35" spans="2:12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126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83" t="s">
        <v>749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24">
    <mergeCell ref="J35:K35"/>
    <mergeCell ref="D28:F28"/>
    <mergeCell ref="D29:F29"/>
    <mergeCell ref="J31:K31"/>
    <mergeCell ref="J33:K33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EC8F0C-8A7C-40B6-934C-CECFC3C89F9B}">
  <sheetPr codeName="Sheet105">
    <tabColor rgb="FFFF0000"/>
    <pageSetUpPr fitToPage="1"/>
  </sheetPr>
  <dimension ref="B1:O50"/>
  <sheetViews>
    <sheetView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511</v>
      </c>
      <c r="J10" s="17" t="s">
        <v>26</v>
      </c>
      <c r="K10" s="455">
        <v>202011434</v>
      </c>
      <c r="L10" s="456"/>
    </row>
    <row r="11" spans="2:12" ht="20.149999999999999" customHeight="1" x14ac:dyDescent="0.45">
      <c r="B11" s="480"/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 t="s">
        <v>739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819</v>
      </c>
      <c r="D18" s="430" t="str">
        <f>VLOOKUP(C18,'Sales Master'!B$3:D$316,2,0)</f>
        <v>Fresh Soursop Seedless 红毛榴莲(无)</v>
      </c>
      <c r="E18" s="430"/>
      <c r="F18" s="430"/>
      <c r="G18" s="45">
        <v>1</v>
      </c>
      <c r="H18" s="65" t="str">
        <f>VLOOKUP(C18,'Sales Master'!B$3:F$936,5,0)</f>
        <v>5 KGS/ Tub桶</v>
      </c>
      <c r="I18" s="431" t="str">
        <f>VLOOKUP(C18,'Sales Master'!B$3:E$936,4,0)</f>
        <v>DO!</v>
      </c>
      <c r="J18" s="431"/>
      <c r="K18" s="22">
        <f>VLOOKUP(C18,'Sales Master'!B$3:BQ$527,68,0)</f>
        <v>38</v>
      </c>
      <c r="L18" s="71">
        <f t="shared" ref="L18:L23" si="0">K18*G18</f>
        <v>38</v>
      </c>
    </row>
    <row r="19" spans="2:15" ht="20.149999999999999" customHeight="1" x14ac:dyDescent="0.45">
      <c r="B19" s="21"/>
      <c r="C19" s="45" t="s">
        <v>831</v>
      </c>
      <c r="D19" s="430" t="str">
        <f>VLOOKUP(C19,'Sales Master'!B$3:D$316,2,0)</f>
        <v>Chendol 浆咯</v>
      </c>
      <c r="E19" s="430"/>
      <c r="F19" s="430"/>
      <c r="G19" s="45">
        <v>1</v>
      </c>
      <c r="H19" s="65" t="str">
        <f>VLOOKUP(C19,'Sales Master'!B$3:F$936,5,0)</f>
        <v>NW(2.2:0.8) 3 KGS/ Bag</v>
      </c>
      <c r="I19" s="431" t="str">
        <f>VLOOKUP(C19,'Sales Master'!B$3:E$936,4,0)</f>
        <v>DO!</v>
      </c>
      <c r="J19" s="431"/>
      <c r="K19" s="22">
        <f>VLOOKUP(C19,'Sales Master'!B$3:BQ$527,68,0)</f>
        <v>6.5</v>
      </c>
      <c r="L19" s="71">
        <f t="shared" si="0"/>
        <v>6.5</v>
      </c>
    </row>
    <row r="20" spans="2:15" ht="20.149999999999999" customHeight="1" x14ac:dyDescent="0.45">
      <c r="B20" s="21"/>
      <c r="C20" s="45" t="s">
        <v>346</v>
      </c>
      <c r="D20" s="430" t="e">
        <f>VLOOKUP(C20,'Sales Master'!B$3:D$316,2,0)</f>
        <v>#N/A</v>
      </c>
      <c r="E20" s="430"/>
      <c r="F20" s="430"/>
      <c r="G20" s="45">
        <v>2</v>
      </c>
      <c r="H20" s="65" t="e">
        <f>VLOOKUP(C20,'Sales Master'!B$3:F$936,5,0)</f>
        <v>#N/A</v>
      </c>
      <c r="I20" s="431" t="e">
        <f>VLOOKUP(C20,'Sales Master'!B$3:E$936,4,0)</f>
        <v>#N/A</v>
      </c>
      <c r="J20" s="431"/>
      <c r="K20" s="22" t="e">
        <f>VLOOKUP(C20,'Sales Master'!B$3:BQ$527,68,0)</f>
        <v>#N/A</v>
      </c>
      <c r="L20" s="71" t="e">
        <f t="shared" si="0"/>
        <v>#N/A</v>
      </c>
    </row>
    <row r="21" spans="2:15" ht="20.149999999999999" customHeight="1" x14ac:dyDescent="0.45">
      <c r="B21" s="21"/>
      <c r="C21" s="45" t="s">
        <v>280</v>
      </c>
      <c r="D21" s="430" t="e">
        <f>VLOOKUP(C21,'Sales Master'!B$3:D$316,2,0)</f>
        <v>#N/A</v>
      </c>
      <c r="E21" s="430"/>
      <c r="F21" s="430"/>
      <c r="G21" s="45">
        <v>1</v>
      </c>
      <c r="H21" s="65" t="e">
        <f>VLOOKUP(C21,'Sales Master'!B$3:F$936,5,0)</f>
        <v>#N/A</v>
      </c>
      <c r="I21" s="431" t="e">
        <f>VLOOKUP(C21,'Sales Master'!B$3:E$936,4,0)</f>
        <v>#N/A</v>
      </c>
      <c r="J21" s="431"/>
      <c r="K21" s="22" t="e">
        <f>VLOOKUP(C21,'Sales Master'!B$3:BQ$527,68,0)</f>
        <v>#N/A</v>
      </c>
      <c r="L21" s="71" t="e">
        <f t="shared" si="0"/>
        <v>#N/A</v>
      </c>
    </row>
    <row r="22" spans="2:15" ht="20.149999999999999" customHeight="1" x14ac:dyDescent="0.45">
      <c r="B22" s="21"/>
      <c r="C22" s="45" t="s">
        <v>279</v>
      </c>
      <c r="D22" s="430" t="e">
        <f>VLOOKUP(C22,'Sales Master'!B$3:D$316,2,0)</f>
        <v>#N/A</v>
      </c>
      <c r="E22" s="430"/>
      <c r="F22" s="430"/>
      <c r="G22" s="45">
        <v>1</v>
      </c>
      <c r="H22" s="65" t="e">
        <f>VLOOKUP(C22,'Sales Master'!B$3:F$936,5,0)</f>
        <v>#N/A</v>
      </c>
      <c r="I22" s="431" t="e">
        <f>VLOOKUP(C22,'Sales Master'!B$3:E$936,4,0)</f>
        <v>#N/A</v>
      </c>
      <c r="J22" s="431"/>
      <c r="K22" s="22" t="e">
        <f>VLOOKUP(C22,'Sales Master'!B$3:BQ$527,68,0)</f>
        <v>#N/A</v>
      </c>
      <c r="L22" s="71" t="e">
        <f t="shared" si="0"/>
        <v>#N/A</v>
      </c>
    </row>
    <row r="23" spans="2:15" ht="20.149999999999999" customHeight="1" x14ac:dyDescent="0.45">
      <c r="B23" s="70"/>
      <c r="C23" s="45" t="s">
        <v>269</v>
      </c>
      <c r="D23" s="430" t="e">
        <f>VLOOKUP(C23,'Sales Master'!B$3:D$316,2,0)</f>
        <v>#N/A</v>
      </c>
      <c r="E23" s="430"/>
      <c r="F23" s="430"/>
      <c r="G23" s="45">
        <v>1</v>
      </c>
      <c r="H23" s="65" t="e">
        <f>VLOOKUP(C23,'Sales Master'!B$3:F$936,5,0)</f>
        <v>#N/A</v>
      </c>
      <c r="I23" s="431" t="e">
        <f>VLOOKUP(C23,'Sales Master'!B$3:E$936,4,0)</f>
        <v>#N/A</v>
      </c>
      <c r="J23" s="431"/>
      <c r="K23" s="22" t="e">
        <f>VLOOKUP(C23,'Sales Master'!B$3:BQ$527,68,0)</f>
        <v>#N/A</v>
      </c>
      <c r="L23" s="71" t="e">
        <f t="shared" si="0"/>
        <v>#N/A</v>
      </c>
    </row>
    <row r="24" spans="2:15" ht="20.149999999999999" customHeight="1" x14ac:dyDescent="0.45">
      <c r="B24" s="70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5" ht="20.149999999999999" customHeight="1" x14ac:dyDescent="0.45">
      <c r="B25" s="70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5" ht="20.149999999999999" customHeight="1" x14ac:dyDescent="0.45">
      <c r="B26" s="70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5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5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5" ht="20.149999999999999" customHeight="1" x14ac:dyDescent="0.45">
      <c r="B29" s="21"/>
      <c r="C29" s="45"/>
      <c r="D29" s="503"/>
      <c r="E29" s="503"/>
      <c r="F29" s="503"/>
      <c r="G29" s="45"/>
      <c r="H29" s="65"/>
      <c r="I29" s="431"/>
      <c r="J29" s="431"/>
      <c r="K29" s="22"/>
      <c r="L29" s="23"/>
    </row>
    <row r="30" spans="2:15" ht="20.149999999999999" customHeight="1" x14ac:dyDescent="0.45">
      <c r="B30" s="21"/>
      <c r="C30" s="45"/>
      <c r="D30" s="503"/>
      <c r="E30" s="503"/>
      <c r="F30" s="503"/>
      <c r="G30" s="45"/>
      <c r="H30" s="65"/>
      <c r="I30" s="431"/>
      <c r="J30" s="431"/>
      <c r="K30" s="22"/>
      <c r="L30" s="23"/>
    </row>
    <row r="31" spans="2:15" ht="20.149999999999999" customHeight="1" x14ac:dyDescent="0.45">
      <c r="B31" s="21"/>
      <c r="C31" s="45"/>
      <c r="D31" s="503"/>
      <c r="E31" s="503"/>
      <c r="F31" s="503"/>
      <c r="G31" s="45"/>
      <c r="H31" s="65"/>
      <c r="I31" s="431"/>
      <c r="J31" s="431"/>
      <c r="K31" s="22"/>
      <c r="L31" s="23"/>
    </row>
    <row r="32" spans="2:15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</row>
    <row r="35" spans="2:12" ht="20.149999999999999" customHeight="1" x14ac:dyDescent="0.45">
      <c r="B35" s="21"/>
      <c r="C35" s="45"/>
      <c r="D35" s="503"/>
      <c r="E35" s="503"/>
      <c r="F35" s="503"/>
      <c r="G35" s="45"/>
      <c r="H35" s="65"/>
      <c r="I35" s="65"/>
      <c r="J35" s="65"/>
      <c r="K35" s="22"/>
      <c r="L35" s="23"/>
    </row>
    <row r="36" spans="2:12" ht="20.149999999999999" customHeight="1" thickBot="1" x14ac:dyDescent="0.5">
      <c r="B36" s="24"/>
      <c r="C36" s="25"/>
      <c r="D36" s="473"/>
      <c r="E36" s="473"/>
      <c r="F36" s="473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474" t="s">
        <v>13</v>
      </c>
      <c r="K38" s="475"/>
      <c r="L38" s="30" t="e">
        <f>SUM(L18:L37)</f>
        <v>#N/A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0" t="s">
        <v>553</v>
      </c>
      <c r="K39" s="113">
        <v>6.54E-2</v>
      </c>
      <c r="L39" s="32" t="e">
        <f>L38-L40</f>
        <v>#N/A</v>
      </c>
    </row>
    <row r="40" spans="2:12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476" t="s">
        <v>555</v>
      </c>
      <c r="K40" s="477"/>
      <c r="L40" s="114" t="e">
        <f>L38/107*100</f>
        <v>#N/A</v>
      </c>
    </row>
    <row r="41" spans="2:12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1" t="s">
        <v>554</v>
      </c>
      <c r="K41" s="112">
        <v>7.0000000000000007E-2</v>
      </c>
      <c r="L41" s="44" t="e">
        <f>L40*K41</f>
        <v>#N/A</v>
      </c>
    </row>
    <row r="42" spans="2:12" ht="20.149999999999999" customHeight="1" thickBot="1" x14ac:dyDescent="0.5">
      <c r="B42" s="11" t="s">
        <v>748</v>
      </c>
      <c r="C42" s="10"/>
      <c r="D42" s="10"/>
      <c r="E42" s="10"/>
      <c r="F42" s="10"/>
      <c r="G42" s="10"/>
      <c r="H42" s="10"/>
      <c r="I42" s="10"/>
      <c r="J42" s="478" t="s">
        <v>21</v>
      </c>
      <c r="K42" s="479"/>
      <c r="L42" s="33" t="e">
        <f>L40+L41</f>
        <v>#N/A</v>
      </c>
    </row>
    <row r="43" spans="2:12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83" t="s">
        <v>749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51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31:F31"/>
    <mergeCell ref="I31:J31"/>
    <mergeCell ref="D32:F32"/>
    <mergeCell ref="D33:F33"/>
    <mergeCell ref="D34:F34"/>
    <mergeCell ref="B1:L8"/>
    <mergeCell ref="D36:F36"/>
    <mergeCell ref="J38:K38"/>
    <mergeCell ref="J40:K40"/>
    <mergeCell ref="J42:K42"/>
    <mergeCell ref="D26:F26"/>
    <mergeCell ref="I26:J26"/>
    <mergeCell ref="D27:F27"/>
    <mergeCell ref="I27:J27"/>
    <mergeCell ref="D35:F35"/>
    <mergeCell ref="D28:F28"/>
    <mergeCell ref="I28:J28"/>
    <mergeCell ref="D29:F29"/>
    <mergeCell ref="I29:J29"/>
    <mergeCell ref="D30:F30"/>
    <mergeCell ref="I30:J30"/>
  </mergeCells>
  <pageMargins left="0.70866141732283472" right="0.31496062992125984" top="0.55118110236220474" bottom="0" header="0.31496062992125984" footer="0.31496062992125984"/>
  <pageSetup paperSize="9" scale="75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59EF7-36C9-4887-BA66-68F7988CCCFA}">
  <sheetPr codeName="Sheet106">
    <tabColor rgb="FFFF0000"/>
    <pageSetUpPr fitToPage="1"/>
  </sheetPr>
  <dimension ref="B1:O49"/>
  <sheetViews>
    <sheetView topLeftCell="A7" zoomScaleNormal="100" workbookViewId="0">
      <selection activeCell="D26" sqref="D26:F2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492</v>
      </c>
      <c r="J10" s="17" t="s">
        <v>26</v>
      </c>
      <c r="K10" s="455">
        <v>202102252</v>
      </c>
      <c r="L10" s="456"/>
    </row>
    <row r="11" spans="2:12" ht="20.149999999999999" customHeight="1" x14ac:dyDescent="0.45">
      <c r="B11" s="480"/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>
        <v>44245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704</v>
      </c>
      <c r="D18" s="430" t="e">
        <f>VLOOKUP(C18,'Sales Master'!B$3:D$316,2,0)</f>
        <v>#N/A</v>
      </c>
      <c r="E18" s="430"/>
      <c r="F18" s="430"/>
      <c r="G18" s="45">
        <v>2</v>
      </c>
      <c r="H18" s="65" t="e">
        <f>VLOOKUP(C18,'Sales Master'!B$3:F$936,5,0)</f>
        <v>#N/A</v>
      </c>
      <c r="I18" s="431" t="e">
        <f>VLOOKUP(C18,'Sales Master'!B$3:E$936,4,0)</f>
        <v>#N/A</v>
      </c>
      <c r="J18" s="431"/>
      <c r="K18" s="22" t="e">
        <f>VLOOKUP(C18,'Sales Master'!B$3:BE$527,56,0)</f>
        <v>#N/A</v>
      </c>
      <c r="L18" s="71" t="e">
        <f>K18*G18</f>
        <v>#N/A</v>
      </c>
    </row>
    <row r="19" spans="2:15" ht="20.149999999999999" customHeight="1" x14ac:dyDescent="0.45">
      <c r="B19" s="21"/>
      <c r="C19" s="45" t="s">
        <v>750</v>
      </c>
      <c r="D19" s="430" t="e">
        <f>VLOOKUP(C19,'Sales Master'!B$3:D$316,2,0)</f>
        <v>#N/A</v>
      </c>
      <c r="E19" s="430"/>
      <c r="F19" s="430"/>
      <c r="G19" s="45">
        <v>1</v>
      </c>
      <c r="H19" s="65" t="e">
        <f>VLOOKUP(C19,'Sales Master'!B$3:F$936,5,0)</f>
        <v>#N/A</v>
      </c>
      <c r="I19" s="431" t="e">
        <f>VLOOKUP(C19,'Sales Master'!B$3:E$936,4,0)</f>
        <v>#N/A</v>
      </c>
      <c r="J19" s="431"/>
      <c r="K19" s="22" t="e">
        <f>VLOOKUP(C19,'Sales Master'!B$3:BE$527,56,0)</f>
        <v>#N/A</v>
      </c>
      <c r="L19" s="71" t="e">
        <f>K19*G19</f>
        <v>#N/A</v>
      </c>
    </row>
    <row r="20" spans="2:15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5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5" ht="20.149999999999999" customHeight="1" x14ac:dyDescent="0.45">
      <c r="B22" s="70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5" ht="20.149999999999999" customHeight="1" x14ac:dyDescent="0.45">
      <c r="B23" s="70"/>
      <c r="C23" s="45"/>
      <c r="D23" s="69"/>
      <c r="E23" s="69"/>
      <c r="F23" s="69"/>
      <c r="G23" s="45"/>
      <c r="H23" s="65"/>
      <c r="I23" s="431"/>
      <c r="J23" s="431"/>
      <c r="K23" s="22"/>
      <c r="L23" s="71"/>
    </row>
    <row r="24" spans="2:15" ht="20.149999999999999" customHeight="1" x14ac:dyDescent="0.45">
      <c r="B24" s="70"/>
      <c r="C24" s="45"/>
      <c r="D24" s="69"/>
      <c r="E24" s="69"/>
      <c r="F24" s="69"/>
      <c r="G24" s="45"/>
      <c r="H24" s="65"/>
      <c r="I24" s="431"/>
      <c r="J24" s="431"/>
      <c r="K24" s="22"/>
      <c r="L24" s="71"/>
    </row>
    <row r="25" spans="2:15" ht="20.149999999999999" customHeight="1" x14ac:dyDescent="0.45">
      <c r="B25" s="70"/>
      <c r="C25" s="45"/>
      <c r="D25" s="69"/>
      <c r="E25" s="69"/>
      <c r="F25" s="69"/>
      <c r="G25" s="45"/>
      <c r="H25" s="65"/>
      <c r="I25" s="431"/>
      <c r="J25" s="431"/>
      <c r="K25" s="22"/>
      <c r="L25" s="71"/>
    </row>
    <row r="26" spans="2:15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5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5" ht="20.149999999999999" customHeight="1" x14ac:dyDescent="0.45">
      <c r="B28" s="21"/>
      <c r="C28" s="45"/>
      <c r="D28" s="503"/>
      <c r="E28" s="503"/>
      <c r="F28" s="503"/>
      <c r="G28" s="45"/>
      <c r="H28" s="65"/>
      <c r="I28" s="431"/>
      <c r="J28" s="431"/>
      <c r="K28" s="22"/>
      <c r="L28" s="23"/>
    </row>
    <row r="29" spans="2:15" ht="20.149999999999999" customHeight="1" x14ac:dyDescent="0.45">
      <c r="B29" s="21"/>
      <c r="C29" s="45"/>
      <c r="D29" s="503"/>
      <c r="E29" s="503"/>
      <c r="F29" s="503"/>
      <c r="G29" s="45"/>
      <c r="H29" s="65"/>
      <c r="I29" s="431"/>
      <c r="J29" s="431"/>
      <c r="K29" s="22"/>
      <c r="L29" s="23"/>
    </row>
    <row r="30" spans="2:15" ht="20.149999999999999" customHeight="1" x14ac:dyDescent="0.45">
      <c r="B30" s="21"/>
      <c r="C30" s="45"/>
      <c r="D30" s="503"/>
      <c r="E30" s="503"/>
      <c r="F30" s="503"/>
      <c r="G30" s="45"/>
      <c r="H30" s="65"/>
      <c r="I30" s="431"/>
      <c r="J30" s="431"/>
      <c r="K30" s="22"/>
      <c r="L30" s="23"/>
    </row>
    <row r="31" spans="2:15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15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473"/>
      <c r="E35" s="473"/>
      <c r="F35" s="473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474" t="s">
        <v>13</v>
      </c>
      <c r="K37" s="475"/>
      <c r="L37" s="30" t="e">
        <f>SUM(L17:L36)</f>
        <v>#N/A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0" t="s">
        <v>553</v>
      </c>
      <c r="K38" s="113">
        <v>6.54E-2</v>
      </c>
      <c r="L38" s="32" t="e">
        <f>L40</f>
        <v>#N/A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476" t="s">
        <v>555</v>
      </c>
      <c r="K39" s="477"/>
      <c r="L39" s="114" t="e">
        <f>L37/107*100</f>
        <v>#N/A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1" t="s">
        <v>554</v>
      </c>
      <c r="K40" s="112">
        <v>7.0000000000000007E-2</v>
      </c>
      <c r="L40" s="44" t="e">
        <f>L39*K40</f>
        <v>#N/A</v>
      </c>
    </row>
    <row r="41" spans="2:12" ht="20.149999999999999" customHeight="1" thickBot="1" x14ac:dyDescent="0.5">
      <c r="B41" s="11" t="s">
        <v>748</v>
      </c>
      <c r="C41" s="10"/>
      <c r="D41" s="10"/>
      <c r="E41" s="10"/>
      <c r="F41" s="10"/>
      <c r="G41" s="10"/>
      <c r="H41" s="10"/>
      <c r="I41" s="10"/>
      <c r="J41" s="478" t="s">
        <v>21</v>
      </c>
      <c r="K41" s="479"/>
      <c r="L41" s="33" t="e">
        <f>L39+L40</f>
        <v>#N/A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83" t="s">
        <v>749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6">
    <mergeCell ref="J41:K41"/>
    <mergeCell ref="D33:F33"/>
    <mergeCell ref="D34:F34"/>
    <mergeCell ref="D35:F35"/>
    <mergeCell ref="J37:K37"/>
    <mergeCell ref="J39:K39"/>
    <mergeCell ref="D32:F32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D17:F17"/>
    <mergeCell ref="I17:J17"/>
    <mergeCell ref="D18:F18"/>
    <mergeCell ref="I18:J18"/>
    <mergeCell ref="I24:J24"/>
    <mergeCell ref="D19:F19"/>
    <mergeCell ref="I19:J19"/>
    <mergeCell ref="D20:F20"/>
    <mergeCell ref="I20:J20"/>
    <mergeCell ref="D21:F21"/>
    <mergeCell ref="I21:J21"/>
    <mergeCell ref="D22:F22"/>
    <mergeCell ref="I22:J22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7F99B-B947-479C-AC0C-034EF8A336C7}">
  <sheetPr codeName="Sheet107">
    <tabColor rgb="FFFF0000"/>
    <pageSetUpPr fitToPage="1"/>
  </sheetPr>
  <dimension ref="B1:V49"/>
  <sheetViews>
    <sheetView topLeftCell="A9" workbookViewId="0">
      <selection activeCell="C18" sqref="C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455</v>
      </c>
      <c r="J10" s="17" t="s">
        <v>26</v>
      </c>
      <c r="K10" s="455">
        <v>202205177</v>
      </c>
      <c r="L10" s="456"/>
    </row>
    <row r="11" spans="2:12" ht="20.149999999999999" customHeight="1" x14ac:dyDescent="0.45">
      <c r="B11" s="480"/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>
        <v>44692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22" ht="20.149999999999999" customHeight="1" x14ac:dyDescent="0.45">
      <c r="B18" s="21"/>
      <c r="C18" s="45" t="s">
        <v>918</v>
      </c>
      <c r="D18" s="430" t="str">
        <f>VLOOKUP(C18,'Sales Master'!B$3:D$643,2,0)</f>
        <v>Chin Chow 仙草</v>
      </c>
      <c r="E18" s="430"/>
      <c r="F18" s="430"/>
      <c r="G18" s="45">
        <v>2</v>
      </c>
      <c r="H18" s="65" t="str">
        <f>VLOOKUP(C18,'Sales Master'!B$3:F$936,5,0)</f>
        <v>5KGS/PKT</v>
      </c>
      <c r="I18" s="431" t="str">
        <f>VLOOKUP(C18,'Sales Master'!B$3:E$936,4,0)</f>
        <v>TSM</v>
      </c>
      <c r="J18" s="431"/>
      <c r="K18" s="22">
        <f>VLOOKUP(C18,'Sales Master'!B$3:T$536,19,0)</f>
        <v>0</v>
      </c>
      <c r="L18" s="71">
        <f>K18*G18</f>
        <v>0</v>
      </c>
    </row>
    <row r="19" spans="2:22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22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22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22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22" ht="20.149999999999999" customHeight="1" x14ac:dyDescent="0.45">
      <c r="B23" s="21"/>
      <c r="C23" s="45"/>
      <c r="D23" s="69"/>
      <c r="E23" s="69"/>
      <c r="F23" s="69"/>
      <c r="G23" s="45"/>
      <c r="H23" s="65"/>
      <c r="I23" s="65"/>
      <c r="J23" s="65"/>
      <c r="K23" s="22"/>
      <c r="L23" s="71"/>
    </row>
    <row r="24" spans="2:22" ht="20.149999999999999" customHeight="1" x14ac:dyDescent="0.45">
      <c r="B24" s="21"/>
      <c r="C24" s="45"/>
      <c r="D24" s="69"/>
      <c r="E24" s="69"/>
      <c r="F24" s="69"/>
      <c r="G24" s="45"/>
      <c r="H24" s="65"/>
      <c r="I24" s="65"/>
      <c r="J24" s="65"/>
      <c r="K24" s="22"/>
      <c r="L24" s="71"/>
    </row>
    <row r="25" spans="2:22" ht="20.149999999999999" customHeight="1" x14ac:dyDescent="0.45">
      <c r="B25" s="21"/>
      <c r="C25" s="45"/>
      <c r="D25" s="69"/>
      <c r="E25" s="69"/>
      <c r="F25" s="69"/>
      <c r="G25" s="45"/>
      <c r="H25" s="65"/>
      <c r="I25" s="65"/>
      <c r="J25" s="65"/>
      <c r="K25" s="22"/>
      <c r="L25" s="71"/>
    </row>
    <row r="26" spans="2:22" ht="20.149999999999999" customHeight="1" x14ac:dyDescent="0.45">
      <c r="B26" s="21"/>
      <c r="C26" s="45"/>
      <c r="D26" s="69"/>
      <c r="E26" s="69"/>
      <c r="F26" s="69"/>
      <c r="G26" s="45"/>
      <c r="H26" s="65"/>
      <c r="I26" s="65"/>
      <c r="J26" s="65"/>
      <c r="K26" s="22"/>
      <c r="L26" s="71"/>
    </row>
    <row r="27" spans="2:22" ht="20.149999999999999" customHeight="1" x14ac:dyDescent="0.45">
      <c r="B27" s="21"/>
      <c r="C27" s="45"/>
      <c r="D27" s="69"/>
      <c r="E27" s="69"/>
      <c r="F27" s="69"/>
      <c r="G27" s="45"/>
      <c r="H27" s="65"/>
      <c r="I27" s="65"/>
      <c r="J27" s="65"/>
      <c r="K27" s="22"/>
      <c r="L27" s="71"/>
      <c r="V27" s="60">
        <v>6</v>
      </c>
    </row>
    <row r="28" spans="2:22" ht="20.149999999999999" customHeight="1" x14ac:dyDescent="0.45">
      <c r="B28" s="21"/>
      <c r="C28" s="45"/>
      <c r="D28" s="69"/>
      <c r="E28" s="69"/>
      <c r="F28" s="69"/>
      <c r="G28" s="45"/>
      <c r="H28" s="65"/>
      <c r="I28" s="65"/>
      <c r="J28" s="65"/>
      <c r="K28" s="22"/>
      <c r="L28" s="71"/>
      <c r="V28" s="60">
        <v>6.5</v>
      </c>
    </row>
    <row r="29" spans="2:22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71"/>
      <c r="V29" s="60">
        <v>14</v>
      </c>
    </row>
    <row r="30" spans="2:22" ht="20.149999999999999" customHeight="1" x14ac:dyDescent="0.45">
      <c r="B30" s="21"/>
      <c r="C30" s="45"/>
      <c r="D30" s="430"/>
      <c r="E30" s="430"/>
      <c r="F30" s="430"/>
      <c r="G30" s="45"/>
      <c r="H30" s="65"/>
      <c r="I30" s="431"/>
      <c r="J30" s="431"/>
      <c r="K30" s="22"/>
      <c r="L30" s="71"/>
      <c r="V30" s="60">
        <v>22</v>
      </c>
    </row>
    <row r="31" spans="2:22" ht="20.149999999999999" customHeight="1" x14ac:dyDescent="0.45">
      <c r="B31" s="21"/>
      <c r="C31" s="45"/>
      <c r="D31" s="430"/>
      <c r="E31" s="430"/>
      <c r="F31" s="430"/>
      <c r="G31" s="45"/>
      <c r="H31" s="65"/>
      <c r="I31" s="431"/>
      <c r="J31" s="431"/>
      <c r="K31" s="22"/>
      <c r="L31" s="71"/>
      <c r="V31" s="60">
        <v>34</v>
      </c>
    </row>
    <row r="32" spans="2:22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71"/>
      <c r="V32" s="60">
        <v>9</v>
      </c>
    </row>
    <row r="33" spans="2:22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  <c r="V33" s="60">
        <v>34</v>
      </c>
    </row>
    <row r="34" spans="2:22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  <c r="V34" s="60">
        <v>13</v>
      </c>
    </row>
    <row r="35" spans="2:22" ht="20.149999999999999" customHeight="1" thickBot="1" x14ac:dyDescent="0.5">
      <c r="B35" s="24"/>
      <c r="C35" s="25"/>
      <c r="D35" s="473"/>
      <c r="E35" s="473"/>
      <c r="F35" s="473"/>
      <c r="G35" s="25"/>
      <c r="H35" s="66"/>
      <c r="I35" s="66"/>
      <c r="J35" s="66"/>
      <c r="K35" s="26"/>
      <c r="L35" s="27"/>
      <c r="V35" s="60">
        <v>16</v>
      </c>
    </row>
    <row r="36" spans="2:22" ht="20.149999999999999" customHeight="1" thickBot="1" x14ac:dyDescent="0.5">
      <c r="B36" s="28"/>
      <c r="L36" s="29"/>
      <c r="V36" s="60">
        <v>18</v>
      </c>
    </row>
    <row r="37" spans="2:2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474" t="s">
        <v>13</v>
      </c>
      <c r="K37" s="475"/>
      <c r="L37" s="30">
        <f>SUM(L17:L36)</f>
        <v>0</v>
      </c>
      <c r="V37" s="60">
        <v>20</v>
      </c>
    </row>
    <row r="38" spans="2:2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0" t="s">
        <v>553</v>
      </c>
      <c r="K38" s="113">
        <v>6.54E-2</v>
      </c>
      <c r="L38" s="32">
        <f>L40</f>
        <v>0</v>
      </c>
      <c r="V38" s="60">
        <v>1.6</v>
      </c>
    </row>
    <row r="39" spans="2:2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476" t="s">
        <v>555</v>
      </c>
      <c r="K39" s="477"/>
      <c r="L39" s="114">
        <f>L37/107*100</f>
        <v>0</v>
      </c>
      <c r="V39" s="60">
        <v>42</v>
      </c>
    </row>
    <row r="40" spans="2:2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1" t="s">
        <v>554</v>
      </c>
      <c r="K40" s="112">
        <v>7.0000000000000007E-2</v>
      </c>
      <c r="L40" s="44">
        <f>L39*K40</f>
        <v>0</v>
      </c>
    </row>
    <row r="41" spans="2:22" ht="20.149999999999999" customHeight="1" thickBot="1" x14ac:dyDescent="0.5">
      <c r="B41" s="11" t="s">
        <v>748</v>
      </c>
      <c r="C41" s="10"/>
      <c r="D41" s="10"/>
      <c r="E41" s="10"/>
      <c r="F41" s="10"/>
      <c r="G41" s="10"/>
      <c r="H41" s="10"/>
      <c r="I41" s="10"/>
      <c r="J41" s="478" t="s">
        <v>21</v>
      </c>
      <c r="K41" s="479"/>
      <c r="L41" s="33">
        <f>L39+L40</f>
        <v>0</v>
      </c>
    </row>
    <row r="42" spans="2:2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22" ht="20.149999999999999" customHeight="1" x14ac:dyDescent="0.45">
      <c r="B43" s="183" t="s">
        <v>749</v>
      </c>
      <c r="L43" s="29"/>
    </row>
    <row r="44" spans="2:22" ht="20.149999999999999" customHeight="1" x14ac:dyDescent="0.45">
      <c r="B44" s="28"/>
      <c r="L44" s="29"/>
    </row>
    <row r="45" spans="2:22" ht="20.149999999999999" customHeight="1" x14ac:dyDescent="0.45">
      <c r="B45" s="28"/>
      <c r="L45" s="29"/>
    </row>
    <row r="46" spans="2:22" ht="20.149999999999999" customHeight="1" x14ac:dyDescent="0.45">
      <c r="B46" s="28"/>
      <c r="L46" s="29"/>
    </row>
    <row r="47" spans="2:22" ht="20.149999999999999" customHeight="1" x14ac:dyDescent="0.45">
      <c r="B47" s="34"/>
      <c r="C47" s="35"/>
      <c r="D47" s="35"/>
      <c r="J47" s="35"/>
      <c r="K47" s="35"/>
      <c r="L47" s="36"/>
    </row>
    <row r="48" spans="2:2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37"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J41:K41"/>
    <mergeCell ref="D31:F31"/>
    <mergeCell ref="I31:J31"/>
    <mergeCell ref="D32:F32"/>
    <mergeCell ref="D33:F33"/>
    <mergeCell ref="D34:F34"/>
    <mergeCell ref="D35:F35"/>
    <mergeCell ref="B1:L8"/>
    <mergeCell ref="D30:F30"/>
    <mergeCell ref="I30:J30"/>
    <mergeCell ref="J37:K37"/>
    <mergeCell ref="J39:K39"/>
    <mergeCell ref="D22:F22"/>
    <mergeCell ref="I22:J22"/>
    <mergeCell ref="D29:F29"/>
    <mergeCell ref="I29:J29"/>
    <mergeCell ref="D20:F20"/>
    <mergeCell ref="I20:J20"/>
    <mergeCell ref="D21:F21"/>
    <mergeCell ref="I21:J21"/>
    <mergeCell ref="D19:F19"/>
    <mergeCell ref="I19:J19"/>
    <mergeCell ref="D17:F17"/>
  </mergeCells>
  <printOptions horizontalCentered="1"/>
  <pageMargins left="0.70866141732283472" right="0.31496062992125984" top="0.59055118110236227" bottom="0" header="0.31496062992125984" footer="0.31496062992125984"/>
  <pageSetup paperSize="9" scale="73" orientation="portrait" verticalDpi="300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3FC62-2692-49BF-8EF8-D164725712EB}">
  <sheetPr codeName="Sheet108">
    <tabColor rgb="FFFF0000"/>
    <pageSetUpPr fitToPage="1"/>
  </sheetPr>
  <dimension ref="B1:O47"/>
  <sheetViews>
    <sheetView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514</v>
      </c>
      <c r="J10" s="17" t="s">
        <v>26</v>
      </c>
      <c r="K10" s="455">
        <v>202009402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COOL ECHO                                               Blk 123, Bedok North #01-150  Singapore</v>
      </c>
      <c r="G11" s="445"/>
      <c r="H11" s="446"/>
      <c r="J11" s="18" t="s">
        <v>9</v>
      </c>
      <c r="K11" s="502" t="s">
        <v>634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259</v>
      </c>
      <c r="D18" s="430" t="e">
        <f>VLOOKUP(C18,'Sales Master'!B$3:D$316,2,0)</f>
        <v>#N/A</v>
      </c>
      <c r="E18" s="430"/>
      <c r="F18" s="430"/>
      <c r="G18" s="45">
        <v>4</v>
      </c>
      <c r="H18" s="65" t="e">
        <f>VLOOKUP(C18,'Sales Master'!B$3:F$936,5,0)</f>
        <v>#N/A</v>
      </c>
      <c r="I18" s="431" t="e">
        <f>VLOOKUP(C18,'Sales Master'!B$3:E$936,4,0)</f>
        <v>#N/A</v>
      </c>
      <c r="J18" s="431"/>
      <c r="K18" s="22" t="e">
        <f>VLOOKUP(C18,'Sales Master'!B$3:DL$527,115,0)</f>
        <v>#N/A</v>
      </c>
      <c r="L18" s="71" t="e">
        <f>K18*G18</f>
        <v>#N/A</v>
      </c>
    </row>
    <row r="19" spans="2:15" ht="20.149999999999999" customHeight="1" x14ac:dyDescent="0.45">
      <c r="B19" s="21"/>
      <c r="C19" s="45" t="s">
        <v>260</v>
      </c>
      <c r="D19" s="430" t="e">
        <f>VLOOKUP(C19,'Sales Master'!B$3:D$316,2,0)</f>
        <v>#N/A</v>
      </c>
      <c r="E19" s="430"/>
      <c r="F19" s="430"/>
      <c r="G19" s="45">
        <v>2</v>
      </c>
      <c r="H19" s="65" t="e">
        <f>VLOOKUP(C19,'Sales Master'!B$3:F$936,5,0)</f>
        <v>#N/A</v>
      </c>
      <c r="I19" s="431" t="e">
        <f>VLOOKUP(C19,'Sales Master'!B$3:E$936,4,0)</f>
        <v>#N/A</v>
      </c>
      <c r="J19" s="431"/>
      <c r="K19" s="22" t="e">
        <f>VLOOKUP(C19,'Sales Master'!B$3:DL$527,115,0)</f>
        <v>#N/A</v>
      </c>
      <c r="L19" s="71" t="e">
        <f>K19*G19</f>
        <v>#N/A</v>
      </c>
    </row>
    <row r="20" spans="2:15" ht="20.149999999999999" customHeight="1" x14ac:dyDescent="0.45">
      <c r="B20" s="21"/>
      <c r="C20" s="45" t="s">
        <v>261</v>
      </c>
      <c r="D20" s="430" t="e">
        <f>VLOOKUP(C20,'Sales Master'!B$3:D$316,2,0)</f>
        <v>#N/A</v>
      </c>
      <c r="E20" s="430"/>
      <c r="F20" s="430"/>
      <c r="G20" s="45">
        <v>2</v>
      </c>
      <c r="H20" s="65" t="e">
        <f>VLOOKUP(C20,'Sales Master'!B$3:F$936,5,0)</f>
        <v>#N/A</v>
      </c>
      <c r="I20" s="431" t="e">
        <f>VLOOKUP(C20,'Sales Master'!B$3:E$936,4,0)</f>
        <v>#N/A</v>
      </c>
      <c r="J20" s="431"/>
      <c r="K20" s="22" t="e">
        <f>VLOOKUP(C20,'Sales Master'!B$3:DL$527,115,0)</f>
        <v>#N/A</v>
      </c>
      <c r="L20" s="71" t="e">
        <f>K20*G20</f>
        <v>#N/A</v>
      </c>
    </row>
    <row r="21" spans="2:15" ht="20.149999999999999" customHeight="1" x14ac:dyDescent="0.45">
      <c r="B21" s="21"/>
      <c r="C21" s="45" t="s">
        <v>278</v>
      </c>
      <c r="D21" s="430" t="e">
        <f>VLOOKUP(C21,'Sales Master'!B$3:D$316,2,0)</f>
        <v>#N/A</v>
      </c>
      <c r="E21" s="430"/>
      <c r="F21" s="430"/>
      <c r="G21" s="45">
        <v>6</v>
      </c>
      <c r="H21" s="65" t="e">
        <f>VLOOKUP(C21,'Sales Master'!B$3:F$936,5,0)</f>
        <v>#N/A</v>
      </c>
      <c r="I21" s="431" t="e">
        <f>VLOOKUP(C21,'Sales Master'!B$3:E$936,4,0)</f>
        <v>#N/A</v>
      </c>
      <c r="J21" s="431"/>
      <c r="K21" s="22" t="e">
        <f>VLOOKUP(C21,'Sales Master'!B$3:DL$527,115,0)</f>
        <v>#N/A</v>
      </c>
      <c r="L21" s="71" t="e">
        <f>K21*G21</f>
        <v>#N/A</v>
      </c>
    </row>
    <row r="22" spans="2:15" ht="20.149999999999999" customHeight="1" x14ac:dyDescent="0.45">
      <c r="B22" s="21"/>
      <c r="C22" s="45" t="s">
        <v>264</v>
      </c>
      <c r="D22" s="430" t="e">
        <f>VLOOKUP(C22,'Sales Master'!B$3:D$316,2,0)</f>
        <v>#N/A</v>
      </c>
      <c r="E22" s="430"/>
      <c r="F22" s="430"/>
      <c r="G22" s="45">
        <v>1</v>
      </c>
      <c r="H22" s="65" t="e">
        <f>VLOOKUP(C22,'Sales Master'!B$3:F$936,5,0)</f>
        <v>#N/A</v>
      </c>
      <c r="I22" s="431" t="e">
        <f>VLOOKUP(C22,'Sales Master'!B$3:E$936,4,0)</f>
        <v>#N/A</v>
      </c>
      <c r="J22" s="431"/>
      <c r="K22" s="22" t="e">
        <f>VLOOKUP(C22,'Sales Master'!B$3:DL$527,115,0)</f>
        <v>#N/A</v>
      </c>
      <c r="L22" s="71" t="e">
        <f>K22*G22</f>
        <v>#N/A</v>
      </c>
    </row>
    <row r="23" spans="2:15" ht="20.149999999999999" customHeight="1" x14ac:dyDescent="0.45">
      <c r="B23" s="70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5" ht="20.149999999999999" customHeight="1" x14ac:dyDescent="0.45">
      <c r="B24" s="70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5" ht="20.149999999999999" customHeight="1" x14ac:dyDescent="0.45">
      <c r="B25" s="70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5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5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5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5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71"/>
    </row>
    <row r="30" spans="2:15" ht="20.149999999999999" customHeight="1" x14ac:dyDescent="0.45">
      <c r="B30" s="21"/>
      <c r="C30" s="45"/>
      <c r="D30" s="430"/>
      <c r="E30" s="430"/>
      <c r="F30" s="430"/>
      <c r="G30" s="45"/>
      <c r="H30" s="65"/>
      <c r="I30" s="431"/>
      <c r="J30" s="431"/>
      <c r="K30" s="22"/>
      <c r="L30" s="71"/>
    </row>
    <row r="31" spans="2:15" ht="20.149999999999999" customHeight="1" x14ac:dyDescent="0.45">
      <c r="B31" s="21"/>
      <c r="C31" s="45"/>
      <c r="D31" s="430"/>
      <c r="E31" s="430"/>
      <c r="F31" s="430"/>
      <c r="G31" s="45"/>
      <c r="H31" s="65"/>
      <c r="I31" s="431"/>
      <c r="J31" s="431"/>
      <c r="K31" s="22"/>
      <c r="L31" s="71"/>
    </row>
    <row r="32" spans="2:15" ht="20.149999999999999" customHeight="1" x14ac:dyDescent="0.45">
      <c r="B32" s="21"/>
      <c r="C32" s="45"/>
      <c r="D32" s="430"/>
      <c r="E32" s="430"/>
      <c r="F32" s="430"/>
      <c r="G32" s="45"/>
      <c r="H32" s="65"/>
      <c r="I32" s="431"/>
      <c r="J32" s="431"/>
      <c r="K32" s="22"/>
      <c r="L32" s="71"/>
    </row>
    <row r="33" spans="2:12" ht="20.149999999999999" customHeight="1" thickBot="1" x14ac:dyDescent="0.5">
      <c r="B33" s="24"/>
      <c r="C33" s="25"/>
      <c r="D33" s="473"/>
      <c r="E33" s="473"/>
      <c r="F33" s="473"/>
      <c r="G33" s="25"/>
      <c r="H33" s="66"/>
      <c r="I33" s="66"/>
      <c r="J33" s="66"/>
      <c r="K33" s="26"/>
      <c r="L33" s="27"/>
    </row>
    <row r="34" spans="2:12" ht="20.149999999999999" customHeight="1" thickBot="1" x14ac:dyDescent="0.5">
      <c r="B34" s="28"/>
      <c r="L34" s="29"/>
    </row>
    <row r="35" spans="2:12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474" t="s">
        <v>13</v>
      </c>
      <c r="K35" s="475"/>
      <c r="L35" s="30" t="e">
        <f>SUM(L18:L34)</f>
        <v>#N/A</v>
      </c>
    </row>
    <row r="36" spans="2:12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0" t="s">
        <v>553</v>
      </c>
      <c r="K36" s="113">
        <v>6.54E-2</v>
      </c>
      <c r="L36" s="32" t="e">
        <f>L35-L37</f>
        <v>#N/A</v>
      </c>
    </row>
    <row r="37" spans="2:12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476" t="s">
        <v>555</v>
      </c>
      <c r="K37" s="477"/>
      <c r="L37" s="114" t="e">
        <f>L35/107*100</f>
        <v>#N/A</v>
      </c>
    </row>
    <row r="38" spans="2:12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1" t="s">
        <v>554</v>
      </c>
      <c r="K38" s="112">
        <v>7.0000000000000007E-2</v>
      </c>
      <c r="L38" s="44" t="e">
        <f>L37*K38</f>
        <v>#N/A</v>
      </c>
    </row>
    <row r="39" spans="2:12" ht="20.149999999999999" customHeight="1" thickBot="1" x14ac:dyDescent="0.5">
      <c r="B39" s="11" t="s">
        <v>748</v>
      </c>
      <c r="C39" s="10"/>
      <c r="D39" s="10"/>
      <c r="E39" s="10"/>
      <c r="F39" s="10"/>
      <c r="G39" s="10"/>
      <c r="H39" s="10"/>
      <c r="I39" s="10"/>
      <c r="J39" s="478" t="s">
        <v>21</v>
      </c>
      <c r="K39" s="479"/>
      <c r="L39" s="33" t="e">
        <f>L37+L38</f>
        <v>#N/A</v>
      </c>
    </row>
    <row r="40" spans="2:12" ht="20.149999999999999" customHeight="1" x14ac:dyDescent="0.45">
      <c r="B40" s="11" t="s">
        <v>23</v>
      </c>
      <c r="C40" s="10"/>
      <c r="D40" s="10"/>
      <c r="E40" s="10"/>
      <c r="F40" s="10"/>
      <c r="G40" s="10"/>
      <c r="H40" s="10"/>
      <c r="I40" s="10"/>
      <c r="L40" s="29"/>
    </row>
    <row r="41" spans="2:12" ht="20.149999999999999" customHeight="1" x14ac:dyDescent="0.45">
      <c r="B41" s="183" t="s">
        <v>749</v>
      </c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34"/>
      <c r="C45" s="35"/>
      <c r="D45" s="35"/>
      <c r="J45" s="35"/>
      <c r="K45" s="35"/>
      <c r="L45" s="36"/>
    </row>
    <row r="46" spans="2:12" ht="20.149999999999999" customHeight="1" x14ac:dyDescent="0.45">
      <c r="B46" s="28" t="s">
        <v>24</v>
      </c>
      <c r="J46" s="60" t="s">
        <v>25</v>
      </c>
      <c r="L46" s="29"/>
    </row>
    <row r="47" spans="2:12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49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B1:L8"/>
    <mergeCell ref="J39:K39"/>
    <mergeCell ref="D31:F31"/>
    <mergeCell ref="I31:J31"/>
    <mergeCell ref="D32:F32"/>
    <mergeCell ref="I32:J32"/>
    <mergeCell ref="D33:F33"/>
    <mergeCell ref="J35:K35"/>
    <mergeCell ref="D29:F29"/>
    <mergeCell ref="I29:J29"/>
    <mergeCell ref="D30:F30"/>
    <mergeCell ref="I30:J30"/>
    <mergeCell ref="J37:K37"/>
    <mergeCell ref="D26:F26"/>
    <mergeCell ref="I26:J26"/>
    <mergeCell ref="D27:F27"/>
  </mergeCells>
  <pageMargins left="0.70866141732283472" right="0.31496062992125984" top="0.55118110236220474" bottom="0" header="0.31496062992125984" footer="0.31496062992125984"/>
  <pageSetup paperSize="9" scale="74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7A54D-57CF-491F-9149-20B30C43B8AF}">
  <sheetPr codeName="Sheet109">
    <tabColor rgb="FFFF0000"/>
    <pageSetUpPr fitToPage="1"/>
  </sheetPr>
  <dimension ref="B1:V38"/>
  <sheetViews>
    <sheetView topLeftCell="A7" workbookViewId="0">
      <selection activeCell="F11" sqref="F11:H1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454</v>
      </c>
      <c r="J10" s="17" t="s">
        <v>26</v>
      </c>
      <c r="K10" s="455">
        <v>202010179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>
        <v>44084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22" ht="20.149999999999999" customHeight="1" x14ac:dyDescent="0.45">
      <c r="B18" s="21"/>
      <c r="C18" s="45" t="s">
        <v>1080</v>
      </c>
      <c r="D18" s="430" t="str">
        <f>VLOOKUP(C18,'Sales Master'!B$3:D$643,2,0)</f>
        <v>Fine Sugar 白糖</v>
      </c>
      <c r="E18" s="430"/>
      <c r="F18" s="430"/>
      <c r="G18" s="45">
        <v>2</v>
      </c>
      <c r="H18" s="65" t="str">
        <f>VLOOKUP(C18,'Sales Master'!B$3:F$936,5,0)</f>
        <v>25 KGS</v>
      </c>
      <c r="I18" s="431" t="str">
        <f>VLOOKUP(C18,'Sales Master'!B$3:E$936,4,0)</f>
        <v>MITR PHOL</v>
      </c>
      <c r="J18" s="431"/>
      <c r="K18" s="22">
        <f>VLOOKUP(C18,'Sales Master'!B$3:Z$536,25,0)</f>
        <v>0</v>
      </c>
      <c r="L18" s="71">
        <f>K18*G18</f>
        <v>0</v>
      </c>
    </row>
    <row r="19" spans="2:22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22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22" ht="20.149999999999999" customHeight="1" x14ac:dyDescent="0.45">
      <c r="B21" s="21"/>
      <c r="C21" s="45"/>
      <c r="D21" s="503"/>
      <c r="E21" s="503"/>
      <c r="F21" s="503"/>
      <c r="G21" s="45"/>
      <c r="H21" s="65"/>
      <c r="I21" s="65"/>
      <c r="J21" s="65"/>
      <c r="K21" s="22"/>
      <c r="L21" s="71"/>
      <c r="V21" s="60">
        <v>9</v>
      </c>
    </row>
    <row r="22" spans="2:22" ht="20.149999999999999" customHeight="1" x14ac:dyDescent="0.45">
      <c r="B22" s="21"/>
      <c r="C22" s="45"/>
      <c r="D22" s="503"/>
      <c r="E22" s="503"/>
      <c r="F22" s="503"/>
      <c r="G22" s="45"/>
      <c r="H22" s="65"/>
      <c r="I22" s="65"/>
      <c r="J22" s="65"/>
      <c r="K22" s="22"/>
      <c r="L22" s="23"/>
      <c r="V22" s="60">
        <v>34</v>
      </c>
    </row>
    <row r="23" spans="2:22" ht="20.149999999999999" customHeight="1" x14ac:dyDescent="0.45">
      <c r="B23" s="21"/>
      <c r="C23" s="45"/>
      <c r="D23" s="503"/>
      <c r="E23" s="503"/>
      <c r="F23" s="503"/>
      <c r="G23" s="45"/>
      <c r="H23" s="65"/>
      <c r="I23" s="65"/>
      <c r="J23" s="65"/>
      <c r="K23" s="22"/>
      <c r="L23" s="23"/>
      <c r="V23" s="60">
        <v>13</v>
      </c>
    </row>
    <row r="24" spans="2:22" ht="20.149999999999999" customHeight="1" thickBot="1" x14ac:dyDescent="0.5">
      <c r="B24" s="24"/>
      <c r="C24" s="25"/>
      <c r="D24" s="473"/>
      <c r="E24" s="473"/>
      <c r="F24" s="473"/>
      <c r="G24" s="25"/>
      <c r="H24" s="66"/>
      <c r="I24" s="66"/>
      <c r="J24" s="66"/>
      <c r="K24" s="26"/>
      <c r="L24" s="27"/>
      <c r="V24" s="60">
        <v>16</v>
      </c>
    </row>
    <row r="25" spans="2:22" ht="20.149999999999999" customHeight="1" thickBot="1" x14ac:dyDescent="0.5">
      <c r="B25" s="28"/>
      <c r="L25" s="29"/>
      <c r="V25" s="60">
        <v>18</v>
      </c>
    </row>
    <row r="26" spans="2:22" ht="20.149999999999999" customHeight="1" x14ac:dyDescent="0.45">
      <c r="B26" s="11" t="s">
        <v>16</v>
      </c>
      <c r="C26" s="10"/>
      <c r="D26" s="10"/>
      <c r="E26" s="10"/>
      <c r="F26" s="10"/>
      <c r="G26" s="10"/>
      <c r="H26" s="10"/>
      <c r="I26" s="10"/>
      <c r="J26" s="474" t="s">
        <v>13</v>
      </c>
      <c r="K26" s="475"/>
      <c r="L26" s="30">
        <f>SUM(L17:L25)</f>
        <v>0</v>
      </c>
      <c r="V26" s="60">
        <v>20</v>
      </c>
    </row>
    <row r="27" spans="2:22" ht="20.149999999999999" customHeight="1" x14ac:dyDescent="0.45">
      <c r="B27" s="11" t="s">
        <v>17</v>
      </c>
      <c r="C27" s="10"/>
      <c r="D27" s="10"/>
      <c r="E27" s="10"/>
      <c r="F27" s="10"/>
      <c r="G27" s="10"/>
      <c r="H27" s="10"/>
      <c r="I27" s="10"/>
      <c r="J27" s="110" t="s">
        <v>553</v>
      </c>
      <c r="K27" s="113">
        <v>6.54E-2</v>
      </c>
      <c r="L27" s="32">
        <f>L29</f>
        <v>0</v>
      </c>
      <c r="V27" s="60">
        <v>1.6</v>
      </c>
    </row>
    <row r="28" spans="2:22" ht="20.149999999999999" customHeight="1" x14ac:dyDescent="0.45">
      <c r="B28" s="11" t="s">
        <v>18</v>
      </c>
      <c r="C28" s="10"/>
      <c r="D28" s="10"/>
      <c r="E28" s="10"/>
      <c r="F28" s="10"/>
      <c r="G28" s="10"/>
      <c r="H28" s="10"/>
      <c r="I28" s="10"/>
      <c r="J28" s="476" t="s">
        <v>555</v>
      </c>
      <c r="K28" s="477"/>
      <c r="L28" s="114">
        <f>L26/107*100</f>
        <v>0</v>
      </c>
      <c r="V28" s="60">
        <v>42</v>
      </c>
    </row>
    <row r="29" spans="2:22" ht="20.149999999999999" customHeight="1" x14ac:dyDescent="0.45">
      <c r="B29" s="11" t="s">
        <v>22</v>
      </c>
      <c r="C29" s="10"/>
      <c r="D29" s="10"/>
      <c r="E29" s="10"/>
      <c r="F29" s="10"/>
      <c r="G29" s="10"/>
      <c r="H29" s="10"/>
      <c r="I29" s="10"/>
      <c r="J29" s="111" t="s">
        <v>554</v>
      </c>
      <c r="K29" s="112">
        <v>7.0000000000000007E-2</v>
      </c>
      <c r="L29" s="44">
        <f>L28*K29</f>
        <v>0</v>
      </c>
    </row>
    <row r="30" spans="2:22" ht="20.149999999999999" customHeight="1" thickBot="1" x14ac:dyDescent="0.5">
      <c r="B30" s="11" t="s">
        <v>748</v>
      </c>
      <c r="C30" s="10"/>
      <c r="D30" s="10"/>
      <c r="E30" s="10"/>
      <c r="F30" s="10"/>
      <c r="G30" s="10"/>
      <c r="H30" s="10"/>
      <c r="I30" s="10"/>
      <c r="J30" s="478" t="s">
        <v>21</v>
      </c>
      <c r="K30" s="479"/>
      <c r="L30" s="33">
        <f>L28+L29</f>
        <v>0</v>
      </c>
    </row>
    <row r="31" spans="2:22" ht="20.149999999999999" customHeight="1" x14ac:dyDescent="0.45">
      <c r="B31" s="11" t="s">
        <v>23</v>
      </c>
      <c r="C31" s="10"/>
      <c r="D31" s="10"/>
      <c r="E31" s="10"/>
      <c r="F31" s="10"/>
      <c r="G31" s="10"/>
      <c r="H31" s="10"/>
      <c r="I31" s="10"/>
      <c r="L31" s="29"/>
    </row>
    <row r="32" spans="2:22" ht="20.149999999999999" customHeight="1" x14ac:dyDescent="0.45">
      <c r="B32" s="183" t="s">
        <v>749</v>
      </c>
      <c r="L32" s="29"/>
    </row>
    <row r="33" spans="2:12" ht="20.149999999999999" customHeight="1" x14ac:dyDescent="0.45">
      <c r="B33" s="28"/>
      <c r="L33" s="29"/>
    </row>
    <row r="34" spans="2:12" ht="20.149999999999999" customHeight="1" x14ac:dyDescent="0.45">
      <c r="B34" s="28"/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34"/>
      <c r="C36" s="35"/>
      <c r="D36" s="35"/>
      <c r="J36" s="35"/>
      <c r="K36" s="35"/>
      <c r="L36" s="36"/>
    </row>
    <row r="37" spans="2:12" ht="20.149999999999999" customHeight="1" x14ac:dyDescent="0.45">
      <c r="B37" s="28" t="s">
        <v>24</v>
      </c>
      <c r="J37" s="60" t="s">
        <v>25</v>
      </c>
      <c r="L37" s="29"/>
    </row>
    <row r="38" spans="2:12" ht="19" thickBot="1" x14ac:dyDescent="0.5">
      <c r="B38" s="37"/>
      <c r="C38" s="62"/>
      <c r="D38" s="62"/>
      <c r="E38" s="62"/>
      <c r="F38" s="62"/>
      <c r="G38" s="62"/>
      <c r="H38" s="62"/>
      <c r="I38" s="62"/>
      <c r="J38" s="62"/>
      <c r="K38" s="62"/>
      <c r="L38" s="38"/>
    </row>
  </sheetData>
  <mergeCells count="27">
    <mergeCell ref="I18:J18"/>
    <mergeCell ref="B13:D13"/>
    <mergeCell ref="K13:L13"/>
    <mergeCell ref="B14:D14"/>
    <mergeCell ref="K14:L14"/>
    <mergeCell ref="K15:L15"/>
    <mergeCell ref="J30:K30"/>
    <mergeCell ref="D21:F21"/>
    <mergeCell ref="D22:F22"/>
    <mergeCell ref="D23:F23"/>
    <mergeCell ref="D24:F24"/>
    <mergeCell ref="B1:L8"/>
    <mergeCell ref="J26:K26"/>
    <mergeCell ref="J28:K28"/>
    <mergeCell ref="D20:F20"/>
    <mergeCell ref="I20:J20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</mergeCells>
  <printOptions horizontalCentered="1"/>
  <pageMargins left="0.70866141732283472" right="0.31496062992125984" top="0.59055118110236227" bottom="0" header="0.31496062992125984" footer="0.31496062992125984"/>
  <pageSetup paperSize="9" scale="73" fitToHeight="0" orientation="portrait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ED3E3-5AA7-496B-AA35-006531FF6204}">
  <sheetPr codeName="Sheet9">
    <tabColor rgb="FF7030A0"/>
    <pageSetUpPr fitToPage="1"/>
  </sheetPr>
  <dimension ref="B1:CV135"/>
  <sheetViews>
    <sheetView topLeftCell="A8" zoomScaleNormal="100" workbookViewId="0">
      <selection activeCell="K18" sqref="K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6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40" t="s">
        <v>334</v>
      </c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5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5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5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5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5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5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5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  <c r="N8" s="60" t="s">
        <v>885</v>
      </c>
      <c r="O8" s="60" t="s">
        <v>1488</v>
      </c>
    </row>
    <row r="9" spans="2:15" ht="21" customHeight="1" thickBot="1" x14ac:dyDescent="0.5">
      <c r="B9" s="12"/>
      <c r="N9" s="60" t="s">
        <v>910</v>
      </c>
      <c r="O9" s="60" t="s">
        <v>1487</v>
      </c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495</v>
      </c>
      <c r="J10" s="17" t="s">
        <v>26</v>
      </c>
      <c r="K10" s="455">
        <v>202305</v>
      </c>
      <c r="L10" s="456"/>
      <c r="N10" s="60" t="s">
        <v>1073</v>
      </c>
    </row>
    <row r="11" spans="2:15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TEL: 91682104                                          Blk 416 BEDOK NORTH AVE 2 SINGAPORE 460416</v>
      </c>
      <c r="G11" s="445"/>
      <c r="H11" s="446"/>
      <c r="J11" s="18" t="s">
        <v>9</v>
      </c>
      <c r="K11" s="460">
        <v>45071</v>
      </c>
      <c r="L11" s="461"/>
    </row>
    <row r="12" spans="2:15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5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  <c r="N13" s="172" t="s">
        <v>1173</v>
      </c>
    </row>
    <row r="14" spans="2:15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5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5" ht="19" thickBot="1" x14ac:dyDescent="0.5">
      <c r="J16" s="45"/>
    </row>
    <row r="17" spans="2:17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7" ht="20.149999999999999" customHeight="1" x14ac:dyDescent="0.45">
      <c r="B18" s="21"/>
      <c r="C18" s="338" t="s">
        <v>1392</v>
      </c>
      <c r="D18" s="430" t="str">
        <f>VLOOKUP(C18,'Sales Master'!B$3:D$644,2,0)</f>
        <v>Sea Coconut 海底椰</v>
      </c>
      <c r="E18" s="430"/>
      <c r="F18" s="430"/>
      <c r="G18" s="99">
        <v>1</v>
      </c>
      <c r="H18" s="241" t="str">
        <f>VLOOKUP(C18,'Sales Master'!B$3:F$936,5,0)</f>
        <v>A10 x 6</v>
      </c>
      <c r="I18" s="432" t="str">
        <f>VLOOKUP(C18,'Sales Master'!B$3:E$936,4,0)</f>
        <v>Golden boy</v>
      </c>
      <c r="J18" s="432"/>
      <c r="K18" s="96">
        <f>VLOOKUP(C18,'Sales Master'!$B$3:$CV$3133,99,0)</f>
        <v>93</v>
      </c>
      <c r="L18" s="23">
        <f>K18*G18</f>
        <v>93</v>
      </c>
      <c r="N18" s="247">
        <f>VLOOKUP(C18,'Sales Master'!$B$3:$FA$3051,156,0)</f>
        <v>70</v>
      </c>
      <c r="O18" s="247">
        <f>K18-N18</f>
        <v>23</v>
      </c>
      <c r="P18" s="247">
        <f>O18*G18</f>
        <v>23</v>
      </c>
      <c r="Q18" s="95"/>
    </row>
    <row r="19" spans="2:17" ht="20.149999999999999" customHeight="1" x14ac:dyDescent="0.45">
      <c r="B19" s="21"/>
      <c r="C19" s="338"/>
      <c r="D19" s="430"/>
      <c r="E19" s="430"/>
      <c r="F19" s="430"/>
      <c r="G19" s="99"/>
      <c r="H19" s="241"/>
      <c r="I19" s="432"/>
      <c r="J19" s="432"/>
      <c r="K19" s="96"/>
      <c r="L19" s="23"/>
      <c r="N19" s="247"/>
      <c r="O19" s="247"/>
      <c r="P19" s="247"/>
      <c r="Q19" s="95"/>
    </row>
    <row r="20" spans="2:17" ht="20.149999999999999" customHeight="1" x14ac:dyDescent="0.45">
      <c r="B20" s="21"/>
      <c r="C20" s="338"/>
      <c r="D20" s="430"/>
      <c r="E20" s="430"/>
      <c r="F20" s="430"/>
      <c r="G20" s="99"/>
      <c r="H20" s="241"/>
      <c r="I20" s="432"/>
      <c r="J20" s="432"/>
      <c r="K20" s="96"/>
      <c r="L20" s="23"/>
      <c r="N20" s="247"/>
      <c r="O20" s="247"/>
      <c r="P20" s="247"/>
      <c r="Q20" s="95"/>
    </row>
    <row r="21" spans="2:17" ht="20.149999999999999" customHeight="1" x14ac:dyDescent="0.45">
      <c r="B21" s="21"/>
      <c r="C21" s="338"/>
      <c r="D21" s="430"/>
      <c r="E21" s="430"/>
      <c r="F21" s="430"/>
      <c r="G21" s="99"/>
      <c r="H21" s="241"/>
      <c r="I21" s="432"/>
      <c r="J21" s="432"/>
      <c r="K21" s="96"/>
      <c r="L21" s="23"/>
      <c r="N21" s="247"/>
      <c r="O21" s="247"/>
      <c r="P21" s="247"/>
      <c r="Q21" s="95"/>
    </row>
    <row r="22" spans="2:17" ht="20.149999999999999" customHeight="1" x14ac:dyDescent="0.45">
      <c r="B22" s="21"/>
      <c r="C22" s="338"/>
      <c r="D22" s="430"/>
      <c r="E22" s="430"/>
      <c r="F22" s="430"/>
      <c r="G22" s="99"/>
      <c r="H22" s="241"/>
      <c r="I22" s="432"/>
      <c r="J22" s="432"/>
      <c r="K22" s="96"/>
      <c r="L22" s="23"/>
      <c r="N22" s="247"/>
      <c r="O22" s="247"/>
      <c r="P22" s="247"/>
      <c r="Q22" s="95"/>
    </row>
    <row r="23" spans="2:17" ht="20.149999999999999" customHeight="1" x14ac:dyDescent="0.45">
      <c r="B23" s="21"/>
      <c r="C23" s="338"/>
      <c r="D23" s="430"/>
      <c r="E23" s="430"/>
      <c r="F23" s="430"/>
      <c r="G23" s="99"/>
      <c r="H23" s="241"/>
      <c r="I23" s="432"/>
      <c r="J23" s="432"/>
      <c r="K23" s="96"/>
      <c r="L23" s="23"/>
      <c r="N23" s="247"/>
      <c r="O23" s="247"/>
      <c r="P23" s="247"/>
      <c r="Q23" s="95"/>
    </row>
    <row r="24" spans="2:17" ht="20.149999999999999" customHeight="1" x14ac:dyDescent="0.45">
      <c r="B24" s="21"/>
      <c r="C24" s="338"/>
      <c r="D24" s="430"/>
      <c r="E24" s="430"/>
      <c r="F24" s="430"/>
      <c r="G24" s="99"/>
      <c r="H24" s="241"/>
      <c r="I24" s="432"/>
      <c r="J24" s="432"/>
      <c r="K24" s="96"/>
      <c r="L24" s="23"/>
      <c r="N24" s="247"/>
      <c r="O24" s="247"/>
      <c r="P24" s="247"/>
      <c r="Q24" s="95"/>
    </row>
    <row r="25" spans="2:17" ht="20.149999999999999" customHeight="1" x14ac:dyDescent="0.45">
      <c r="B25" s="21"/>
      <c r="C25" s="338"/>
      <c r="D25" s="430"/>
      <c r="E25" s="430"/>
      <c r="F25" s="430"/>
      <c r="G25" s="99"/>
      <c r="H25" s="241"/>
      <c r="I25" s="432"/>
      <c r="J25" s="432"/>
      <c r="K25" s="96"/>
      <c r="L25" s="23"/>
      <c r="N25" s="247"/>
      <c r="O25" s="247"/>
      <c r="P25" s="247"/>
      <c r="Q25" s="95"/>
    </row>
    <row r="26" spans="2:17" ht="20.149999999999999" customHeight="1" x14ac:dyDescent="0.45">
      <c r="B26" s="21"/>
      <c r="C26" s="338"/>
      <c r="D26" s="430"/>
      <c r="E26" s="430"/>
      <c r="F26" s="430"/>
      <c r="G26" s="99"/>
      <c r="H26" s="241"/>
      <c r="I26" s="432"/>
      <c r="J26" s="432"/>
      <c r="K26" s="96"/>
      <c r="L26" s="23"/>
      <c r="N26" s="247"/>
      <c r="O26" s="247"/>
      <c r="P26" s="247"/>
      <c r="Q26" s="95"/>
    </row>
    <row r="27" spans="2:17" ht="20.149999999999999" customHeight="1" x14ac:dyDescent="0.45">
      <c r="B27" s="21"/>
      <c r="C27" s="338"/>
      <c r="D27" s="430"/>
      <c r="E27" s="430"/>
      <c r="F27" s="430"/>
      <c r="G27" s="99"/>
      <c r="H27" s="241"/>
      <c r="I27" s="432"/>
      <c r="J27" s="432"/>
      <c r="K27" s="96"/>
      <c r="L27" s="23"/>
      <c r="N27" s="247"/>
      <c r="O27" s="247"/>
      <c r="P27" s="247"/>
      <c r="Q27" s="95"/>
    </row>
    <row r="28" spans="2:17" ht="20.149999999999999" customHeight="1" x14ac:dyDescent="0.45">
      <c r="B28" s="21"/>
      <c r="C28" s="338"/>
      <c r="D28" s="430"/>
      <c r="E28" s="430"/>
      <c r="F28" s="430"/>
      <c r="G28" s="99"/>
      <c r="H28" s="241"/>
      <c r="I28" s="432"/>
      <c r="J28" s="432"/>
      <c r="K28" s="96"/>
      <c r="L28" s="23"/>
      <c r="N28" s="247"/>
      <c r="O28" s="247"/>
      <c r="P28" s="247"/>
      <c r="Q28" s="95"/>
    </row>
    <row r="29" spans="2:17" ht="20.149999999999999" customHeight="1" x14ac:dyDescent="0.45">
      <c r="B29" s="21"/>
      <c r="C29" s="338"/>
      <c r="D29" s="430"/>
      <c r="E29" s="430"/>
      <c r="F29" s="430"/>
      <c r="G29" s="99"/>
      <c r="H29" s="241"/>
      <c r="I29" s="432"/>
      <c r="J29" s="432"/>
      <c r="K29" s="96"/>
      <c r="L29" s="23"/>
      <c r="N29" s="247"/>
      <c r="O29" s="247"/>
      <c r="P29" s="247"/>
      <c r="Q29" s="95"/>
    </row>
    <row r="30" spans="2:17" ht="20.149999999999999" customHeight="1" x14ac:dyDescent="0.45">
      <c r="B30" s="21"/>
      <c r="C30" s="338"/>
      <c r="D30" s="430"/>
      <c r="E30" s="430"/>
      <c r="F30" s="430"/>
      <c r="G30" s="99"/>
      <c r="H30" s="241"/>
      <c r="I30" s="432"/>
      <c r="J30" s="432"/>
      <c r="K30" s="96"/>
      <c r="L30" s="23"/>
      <c r="N30" s="247"/>
      <c r="O30" s="247"/>
      <c r="P30" s="247"/>
      <c r="Q30" s="95"/>
    </row>
    <row r="31" spans="2:17" ht="20.149999999999999" customHeight="1" x14ac:dyDescent="0.45">
      <c r="B31" s="21"/>
      <c r="C31" s="338"/>
      <c r="D31" s="430"/>
      <c r="E31" s="430"/>
      <c r="F31" s="430"/>
      <c r="G31" s="99"/>
      <c r="H31" s="241"/>
      <c r="I31" s="432"/>
      <c r="J31" s="432"/>
      <c r="K31" s="96"/>
      <c r="L31" s="23"/>
      <c r="N31" s="247"/>
      <c r="O31" s="247"/>
      <c r="P31" s="247"/>
      <c r="Q31" s="95"/>
    </row>
    <row r="32" spans="2:17" ht="20.149999999999999" customHeight="1" x14ac:dyDescent="0.45">
      <c r="B32" s="21"/>
      <c r="C32" s="338"/>
      <c r="D32" s="430"/>
      <c r="E32" s="430"/>
      <c r="F32" s="430"/>
      <c r="G32" s="99"/>
      <c r="H32" s="241"/>
      <c r="I32" s="432"/>
      <c r="J32" s="432"/>
      <c r="K32" s="96"/>
      <c r="L32" s="23"/>
      <c r="N32" s="247"/>
      <c r="O32" s="247"/>
      <c r="P32" s="247"/>
      <c r="Q32" s="95"/>
    </row>
    <row r="33" spans="2:17" ht="20.149999999999999" customHeight="1" x14ac:dyDescent="0.45">
      <c r="B33" s="21"/>
      <c r="C33" s="338"/>
      <c r="D33" s="430"/>
      <c r="E33" s="430"/>
      <c r="F33" s="430"/>
      <c r="G33" s="99"/>
      <c r="H33" s="241"/>
      <c r="I33" s="432"/>
      <c r="J33" s="432"/>
      <c r="K33" s="96"/>
      <c r="L33" s="23"/>
      <c r="N33" s="247"/>
      <c r="O33" s="247"/>
      <c r="P33" s="247"/>
      <c r="Q33" s="95"/>
    </row>
    <row r="34" spans="2:17" ht="20.149999999999999" customHeight="1" x14ac:dyDescent="0.45">
      <c r="B34" s="21"/>
      <c r="C34" s="338"/>
      <c r="D34" s="430"/>
      <c r="E34" s="430"/>
      <c r="F34" s="430"/>
      <c r="G34" s="99"/>
      <c r="H34" s="241"/>
      <c r="I34" s="432"/>
      <c r="J34" s="432"/>
      <c r="K34" s="96"/>
      <c r="L34" s="23"/>
      <c r="N34" s="247"/>
      <c r="O34" s="247"/>
      <c r="P34" s="247"/>
      <c r="Q34" s="95"/>
    </row>
    <row r="35" spans="2:17" ht="20.149999999999999" customHeight="1" x14ac:dyDescent="0.45">
      <c r="B35" s="21"/>
      <c r="C35" s="338"/>
      <c r="D35" s="430"/>
      <c r="E35" s="430"/>
      <c r="F35" s="430"/>
      <c r="G35" s="99"/>
      <c r="H35" s="241"/>
      <c r="I35" s="432"/>
      <c r="J35" s="432"/>
      <c r="K35" s="96"/>
      <c r="L35" s="23"/>
      <c r="N35" s="247"/>
      <c r="O35" s="247"/>
      <c r="P35" s="247"/>
      <c r="Q35" s="95"/>
    </row>
    <row r="36" spans="2:17" ht="20.149999999999999" customHeight="1" x14ac:dyDescent="0.45">
      <c r="B36" s="21"/>
      <c r="C36" s="338"/>
      <c r="D36" s="430"/>
      <c r="E36" s="430"/>
      <c r="F36" s="430"/>
      <c r="G36" s="99"/>
      <c r="H36" s="241"/>
      <c r="I36" s="432"/>
      <c r="J36" s="432"/>
      <c r="K36" s="96"/>
      <c r="L36" s="23"/>
      <c r="N36" s="247"/>
      <c r="O36" s="247"/>
      <c r="P36" s="247"/>
      <c r="Q36" s="95"/>
    </row>
    <row r="37" spans="2:17" ht="20.149999999999999" customHeight="1" x14ac:dyDescent="0.45">
      <c r="B37" s="21"/>
      <c r="C37" s="338"/>
      <c r="D37" s="430"/>
      <c r="E37" s="430"/>
      <c r="F37" s="430"/>
      <c r="G37" s="99"/>
      <c r="H37" s="241"/>
      <c r="I37" s="432"/>
      <c r="J37" s="432"/>
      <c r="K37" s="96"/>
      <c r="L37" s="23"/>
      <c r="N37" s="247"/>
      <c r="O37" s="247"/>
      <c r="P37" s="247"/>
      <c r="Q37" s="95"/>
    </row>
    <row r="38" spans="2:17" ht="20.149999999999999" customHeight="1" x14ac:dyDescent="0.45">
      <c r="B38" s="21"/>
      <c r="C38" s="338"/>
      <c r="D38" s="430"/>
      <c r="E38" s="430"/>
      <c r="F38" s="430"/>
      <c r="G38" s="99"/>
      <c r="H38" s="241"/>
      <c r="I38" s="432"/>
      <c r="J38" s="432"/>
      <c r="K38" s="96"/>
      <c r="L38" s="23"/>
      <c r="N38" s="247"/>
      <c r="O38" s="247"/>
      <c r="P38" s="247"/>
      <c r="Q38" s="95"/>
    </row>
    <row r="39" spans="2:17" ht="20.149999999999999" customHeight="1" x14ac:dyDescent="0.45">
      <c r="B39" s="21"/>
      <c r="C39" s="338"/>
      <c r="D39" s="430"/>
      <c r="E39" s="430"/>
      <c r="F39" s="430"/>
      <c r="G39" s="99"/>
      <c r="H39" s="241"/>
      <c r="I39" s="432"/>
      <c r="J39" s="432"/>
      <c r="K39" s="96"/>
      <c r="L39" s="23"/>
      <c r="N39" s="247"/>
      <c r="O39" s="247"/>
      <c r="P39" s="247"/>
      <c r="Q39" s="95"/>
    </row>
    <row r="40" spans="2:17" ht="20.149999999999999" customHeight="1" x14ac:dyDescent="0.45">
      <c r="B40" s="21"/>
      <c r="C40" s="338"/>
      <c r="D40" s="69"/>
      <c r="E40" s="69"/>
      <c r="F40" s="69"/>
      <c r="G40" s="99"/>
      <c r="H40" s="241"/>
      <c r="I40" s="322"/>
      <c r="J40" s="322"/>
      <c r="K40" s="96"/>
      <c r="L40" s="23"/>
      <c r="N40" s="247"/>
      <c r="O40" s="247"/>
      <c r="P40" s="247"/>
      <c r="Q40" s="95"/>
    </row>
    <row r="41" spans="2:17" ht="20.149999999999999" customHeight="1" x14ac:dyDescent="0.45">
      <c r="B41" s="21"/>
      <c r="C41" s="305" t="s">
        <v>1503</v>
      </c>
      <c r="E41" s="69"/>
      <c r="F41" s="69"/>
      <c r="G41" s="99"/>
      <c r="H41" s="65"/>
      <c r="I41" s="65"/>
      <c r="J41" s="65"/>
      <c r="K41" s="22"/>
      <c r="L41" s="23"/>
      <c r="N41" s="247"/>
      <c r="O41" s="247"/>
      <c r="P41" s="247"/>
      <c r="Q41" s="95"/>
    </row>
    <row r="42" spans="2:17" ht="20.149999999999999" customHeight="1" x14ac:dyDescent="0.45">
      <c r="B42" s="21"/>
      <c r="C42" s="338" t="s">
        <v>981</v>
      </c>
      <c r="D42" s="430" t="str">
        <f>VLOOKUP(C42,'Sales Master'!B$3:D$643,2,0)</f>
        <v>Pong Thai Hai (Dry) 碰大海</v>
      </c>
      <c r="E42" s="430"/>
      <c r="F42" s="430"/>
      <c r="G42" s="99">
        <v>1</v>
      </c>
      <c r="H42" s="65" t="str">
        <f>VLOOKUP(C42,'Sales Master'!B$3:F$936,5,0)</f>
        <v>1 kg</v>
      </c>
      <c r="I42" s="431" t="str">
        <f>VLOOKUP(C42,'Sales Master'!B$3:E$936,4,0)</f>
        <v>-</v>
      </c>
      <c r="J42" s="431"/>
      <c r="K42" s="22">
        <v>48</v>
      </c>
      <c r="L42" s="23"/>
      <c r="N42" s="247"/>
      <c r="O42" s="247"/>
      <c r="P42" s="247"/>
      <c r="Q42" s="95"/>
    </row>
    <row r="43" spans="2:17" x14ac:dyDescent="0.45">
      <c r="B43" s="90"/>
      <c r="C43" s="186"/>
      <c r="D43" s="186"/>
      <c r="E43" s="186"/>
      <c r="F43" s="186"/>
      <c r="G43" s="133"/>
      <c r="H43" s="123"/>
      <c r="I43" s="123"/>
      <c r="J43" s="123"/>
      <c r="K43" s="128"/>
      <c r="L43" s="93"/>
    </row>
    <row r="44" spans="2:17" ht="20.149999999999999" customHeight="1" thickBot="1" x14ac:dyDescent="0.5">
      <c r="B44" s="28"/>
      <c r="L44" s="29"/>
    </row>
    <row r="45" spans="2:17" ht="20.149999999999999" customHeight="1" x14ac:dyDescent="0.45">
      <c r="B45" s="11" t="s">
        <v>17</v>
      </c>
      <c r="C45" s="10"/>
      <c r="D45" s="10"/>
      <c r="E45" s="10"/>
      <c r="F45" s="10"/>
      <c r="G45" s="10"/>
      <c r="H45" s="10"/>
      <c r="I45" s="10"/>
      <c r="J45" s="474" t="s">
        <v>13</v>
      </c>
      <c r="K45" s="475"/>
      <c r="L45" s="30">
        <f>SUM(L18:L44)</f>
        <v>93</v>
      </c>
      <c r="M45" s="95">
        <f>SUM(P18:P43)</f>
        <v>23</v>
      </c>
      <c r="N45" s="248">
        <f>M45/L45</f>
        <v>0.24731182795698925</v>
      </c>
    </row>
    <row r="46" spans="2:17" ht="20.149999999999999" customHeight="1" x14ac:dyDescent="0.45">
      <c r="B46" s="11" t="s">
        <v>18</v>
      </c>
      <c r="C46" s="10"/>
      <c r="D46" s="10"/>
      <c r="E46" s="10"/>
      <c r="F46" s="10"/>
      <c r="G46" s="10"/>
      <c r="H46" s="10"/>
      <c r="I46" s="10"/>
      <c r="J46" s="110" t="s">
        <v>553</v>
      </c>
      <c r="K46" s="113">
        <v>6.54E-2</v>
      </c>
      <c r="L46" s="32">
        <f>L48</f>
        <v>6.8888888888888893</v>
      </c>
    </row>
    <row r="47" spans="2:17" ht="20.149999999999999" customHeight="1" x14ac:dyDescent="0.45">
      <c r="B47" s="11" t="s">
        <v>22</v>
      </c>
      <c r="C47" s="10"/>
      <c r="D47" s="10"/>
      <c r="E47" s="10"/>
      <c r="F47" s="10"/>
      <c r="G47" s="10"/>
      <c r="H47" s="10"/>
      <c r="I47" s="10"/>
      <c r="J47" s="476" t="s">
        <v>555</v>
      </c>
      <c r="K47" s="477"/>
      <c r="L47" s="114">
        <f>L45/108*100</f>
        <v>86.111111111111114</v>
      </c>
    </row>
    <row r="48" spans="2:17" ht="20.149999999999999" customHeight="1" x14ac:dyDescent="0.45">
      <c r="B48" s="11" t="s">
        <v>748</v>
      </c>
      <c r="C48" s="10"/>
      <c r="D48" s="10"/>
      <c r="E48" s="10"/>
      <c r="F48" s="10"/>
      <c r="G48" s="10"/>
      <c r="H48" s="10"/>
      <c r="I48" s="10"/>
      <c r="J48" s="111" t="s">
        <v>554</v>
      </c>
      <c r="K48" s="112">
        <v>0.08</v>
      </c>
      <c r="L48" s="44">
        <f>L47*K48</f>
        <v>6.8888888888888893</v>
      </c>
    </row>
    <row r="49" spans="2:12" ht="20.149999999999999" customHeight="1" thickBot="1" x14ac:dyDescent="0.5">
      <c r="B49" s="11" t="s">
        <v>23</v>
      </c>
      <c r="C49" s="10"/>
      <c r="D49" s="10"/>
      <c r="E49" s="10"/>
      <c r="F49" s="10"/>
      <c r="G49" s="10"/>
      <c r="H49" s="10"/>
      <c r="I49" s="10"/>
      <c r="J49" s="478" t="s">
        <v>21</v>
      </c>
      <c r="K49" s="479"/>
      <c r="L49" s="33">
        <f>L47+L48</f>
        <v>93</v>
      </c>
    </row>
    <row r="50" spans="2:12" ht="20.149999999999999" customHeight="1" x14ac:dyDescent="0.45">
      <c r="B50" s="183" t="s">
        <v>749</v>
      </c>
      <c r="C50" s="10"/>
      <c r="D50" s="10"/>
      <c r="E50" s="10"/>
      <c r="F50" s="10"/>
      <c r="G50" s="10"/>
      <c r="H50" s="10"/>
      <c r="I50" s="10"/>
      <c r="L50" s="29"/>
    </row>
    <row r="51" spans="2:12" ht="20.149999999999999" customHeight="1" x14ac:dyDescent="0.45">
      <c r="B51" s="183"/>
      <c r="L51" s="29"/>
    </row>
    <row r="52" spans="2:12" ht="20.149999999999999" customHeight="1" x14ac:dyDescent="0.45">
      <c r="B52" s="28"/>
      <c r="L52" s="29"/>
    </row>
    <row r="53" spans="2:12" ht="20.149999999999999" customHeight="1" x14ac:dyDescent="0.45">
      <c r="B53" s="28"/>
      <c r="L53" s="29"/>
    </row>
    <row r="54" spans="2:12" ht="20.149999999999999" customHeight="1" x14ac:dyDescent="0.45">
      <c r="B54" s="34"/>
      <c r="C54" s="35"/>
      <c r="D54" s="35"/>
      <c r="J54" s="35"/>
      <c r="K54" s="35"/>
      <c r="L54" s="36"/>
    </row>
    <row r="55" spans="2:12" ht="20.149999999999999" customHeight="1" x14ac:dyDescent="0.45">
      <c r="B55" s="28" t="s">
        <v>24</v>
      </c>
      <c r="J55" s="60" t="s">
        <v>25</v>
      </c>
      <c r="L55" s="29"/>
    </row>
    <row r="56" spans="2:12" ht="8.5" customHeight="1" thickBot="1" x14ac:dyDescent="0.5">
      <c r="B56" s="37"/>
      <c r="C56" s="62"/>
      <c r="D56" s="62"/>
      <c r="E56" s="62"/>
      <c r="F56" s="62"/>
      <c r="G56" s="62"/>
      <c r="H56" s="62"/>
      <c r="I56" s="62"/>
      <c r="J56" s="62"/>
      <c r="K56" s="62"/>
      <c r="L56" s="38"/>
    </row>
    <row r="57" spans="2:12" ht="20.5" x14ac:dyDescent="0.45">
      <c r="F57" s="317"/>
    </row>
    <row r="135" spans="3:100" x14ac:dyDescent="0.45">
      <c r="C135" s="189" t="s">
        <v>1500</v>
      </c>
      <c r="D135" s="2" t="s">
        <v>770</v>
      </c>
      <c r="E135" s="2" t="s">
        <v>799</v>
      </c>
      <c r="F135" s="2" t="s">
        <v>1000</v>
      </c>
      <c r="G135" s="2" t="s">
        <v>570</v>
      </c>
      <c r="H135" s="57">
        <v>0.57999999999999996</v>
      </c>
      <c r="CV135" s="60">
        <v>0.9</v>
      </c>
    </row>
  </sheetData>
  <mergeCells count="6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D34:F34"/>
    <mergeCell ref="I34:J34"/>
    <mergeCell ref="D35:F35"/>
    <mergeCell ref="I35:J35"/>
    <mergeCell ref="D36:F36"/>
    <mergeCell ref="I36:J36"/>
    <mergeCell ref="D37:F37"/>
    <mergeCell ref="I37:J37"/>
    <mergeCell ref="J45:K45"/>
    <mergeCell ref="J47:K47"/>
    <mergeCell ref="J49:K49"/>
    <mergeCell ref="D38:F38"/>
    <mergeCell ref="I38:J38"/>
    <mergeCell ref="D39:F39"/>
    <mergeCell ref="I39:J39"/>
    <mergeCell ref="D42:F42"/>
    <mergeCell ref="I42:J42"/>
  </mergeCells>
  <conditionalFormatting sqref="C41">
    <cfRule type="duplicateValues" dxfId="1" priority="1"/>
  </conditionalFormatting>
  <conditionalFormatting sqref="C42">
    <cfRule type="duplicateValues" dxfId="0" priority="2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1D101-01E1-44BC-8A8A-9CA613F4203D}">
  <sheetPr codeName="Sheet112">
    <tabColor rgb="FFFF0000"/>
    <pageSetUpPr fitToPage="1"/>
  </sheetPr>
  <dimension ref="B1:O50"/>
  <sheetViews>
    <sheetView topLeftCell="B7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515</v>
      </c>
      <c r="J10" s="17" t="s">
        <v>26</v>
      </c>
      <c r="K10" s="455">
        <v>202009190</v>
      </c>
      <c r="L10" s="456"/>
    </row>
    <row r="11" spans="2:12" ht="20.149999999999999" customHeight="1" x14ac:dyDescent="0.45">
      <c r="B11" s="480"/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>
        <v>44113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1080</v>
      </c>
      <c r="D18" s="430" t="e">
        <f>VLOOKUP(C18,'Sales Master'!B$3:D$316,2,0)</f>
        <v>#N/A</v>
      </c>
      <c r="E18" s="430"/>
      <c r="F18" s="430"/>
      <c r="G18" s="45">
        <v>5</v>
      </c>
      <c r="H18" s="65" t="str">
        <f>VLOOKUP(C18,'Sales Master'!B$3:F$936,5,0)</f>
        <v>25 KGS</v>
      </c>
      <c r="I18" s="431" t="str">
        <f>VLOOKUP(C18,'Sales Master'!B$3:E$936,4,0)</f>
        <v>MITR PHOL</v>
      </c>
      <c r="J18" s="431"/>
      <c r="K18" s="22">
        <f>VLOOKUP(C18,'Sales Master'!$B$3:$DM$3204,116,0)</f>
        <v>0</v>
      </c>
      <c r="L18" s="71">
        <f>K18*G18</f>
        <v>0</v>
      </c>
    </row>
    <row r="19" spans="2:15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5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5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5" ht="20.149999999999999" customHeight="1" x14ac:dyDescent="0.45">
      <c r="B22" s="21"/>
      <c r="C22" s="172" t="s">
        <v>796</v>
      </c>
      <c r="G22" s="99"/>
      <c r="H22" s="65"/>
      <c r="I22" s="431"/>
      <c r="J22" s="431"/>
      <c r="K22" s="96"/>
      <c r="L22" s="71"/>
    </row>
    <row r="23" spans="2:15" ht="20.149999999999999" customHeight="1" x14ac:dyDescent="0.45">
      <c r="B23" s="70"/>
      <c r="C23" s="45" t="s">
        <v>1080</v>
      </c>
      <c r="D23" s="430" t="e">
        <f>VLOOKUP(C23,'Sales Master'!B$3:D$316,2,0)</f>
        <v>#N/A</v>
      </c>
      <c r="E23" s="430"/>
      <c r="F23" s="430"/>
      <c r="G23" s="99">
        <v>1</v>
      </c>
      <c r="H23" s="65" t="str">
        <f>VLOOKUP(C23,'Sales Master'!B$3:F$936,5,0)</f>
        <v>25 KGS</v>
      </c>
      <c r="I23" s="431" t="str">
        <f>VLOOKUP(C23,'Sales Master'!B$3:E$936,4,0)</f>
        <v>MITR PHOL</v>
      </c>
      <c r="J23" s="431"/>
      <c r="K23" s="96">
        <v>24</v>
      </c>
      <c r="L23" s="71"/>
    </row>
    <row r="24" spans="2:15" ht="20.149999999999999" customHeight="1" x14ac:dyDescent="0.45">
      <c r="B24" s="70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5" ht="20.149999999999999" customHeight="1" x14ac:dyDescent="0.45">
      <c r="B25" s="70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5" ht="20.149999999999999" customHeight="1" x14ac:dyDescent="0.45">
      <c r="B26" s="70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5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5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5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71"/>
    </row>
    <row r="30" spans="2:15" ht="20.149999999999999" customHeight="1" x14ac:dyDescent="0.45">
      <c r="B30" s="21"/>
      <c r="C30" s="45"/>
      <c r="D30" s="430"/>
      <c r="E30" s="430"/>
      <c r="F30" s="430"/>
      <c r="G30" s="45"/>
      <c r="H30" s="65"/>
      <c r="I30" s="431"/>
      <c r="J30" s="431"/>
      <c r="K30" s="22"/>
      <c r="L30" s="71"/>
    </row>
    <row r="31" spans="2:15" ht="20.149999999999999" customHeight="1" x14ac:dyDescent="0.45">
      <c r="B31" s="21"/>
      <c r="C31" s="45"/>
      <c r="D31" s="430"/>
      <c r="E31" s="430"/>
      <c r="F31" s="430"/>
      <c r="G31" s="45"/>
      <c r="H31" s="65"/>
      <c r="I31" s="431"/>
      <c r="J31" s="431"/>
      <c r="K31" s="22"/>
      <c r="L31" s="71"/>
    </row>
    <row r="32" spans="2:15" ht="20.149999999999999" customHeight="1" x14ac:dyDescent="0.45">
      <c r="B32" s="21"/>
      <c r="C32" s="45"/>
      <c r="D32" s="430"/>
      <c r="E32" s="430"/>
      <c r="F32" s="430"/>
      <c r="G32" s="45"/>
      <c r="H32" s="65"/>
      <c r="I32" s="431"/>
      <c r="J32" s="431"/>
      <c r="K32" s="22"/>
      <c r="L32" s="71"/>
    </row>
    <row r="33" spans="2:12" ht="20.149999999999999" customHeight="1" x14ac:dyDescent="0.45">
      <c r="B33" s="21"/>
      <c r="C33" s="45"/>
      <c r="D33" s="430"/>
      <c r="E33" s="430"/>
      <c r="F33" s="430"/>
      <c r="G33" s="45"/>
      <c r="H33" s="65"/>
      <c r="I33" s="431"/>
      <c r="J33" s="431"/>
      <c r="K33" s="22"/>
      <c r="L33" s="71"/>
    </row>
    <row r="34" spans="2:12" ht="20.149999999999999" customHeight="1" x14ac:dyDescent="0.45">
      <c r="B34" s="21"/>
      <c r="C34" s="45"/>
      <c r="D34" s="430"/>
      <c r="E34" s="430"/>
      <c r="F34" s="430"/>
      <c r="G34" s="45"/>
      <c r="H34" s="65"/>
      <c r="I34" s="431"/>
      <c r="J34" s="431"/>
      <c r="K34" s="22"/>
      <c r="L34" s="71"/>
    </row>
    <row r="35" spans="2:12" ht="20.149999999999999" customHeight="1" x14ac:dyDescent="0.45">
      <c r="B35" s="21"/>
      <c r="C35" s="45"/>
      <c r="D35" s="430"/>
      <c r="E35" s="430"/>
      <c r="F35" s="430"/>
      <c r="G35" s="45"/>
      <c r="H35" s="65"/>
      <c r="I35" s="431"/>
      <c r="J35" s="431"/>
      <c r="K35" s="22"/>
      <c r="L35" s="71"/>
    </row>
    <row r="36" spans="2:12" ht="20.149999999999999" customHeight="1" thickBot="1" x14ac:dyDescent="0.5">
      <c r="B36" s="24"/>
      <c r="C36" s="25"/>
      <c r="D36" s="473"/>
      <c r="E36" s="473"/>
      <c r="F36" s="473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474" t="s">
        <v>13</v>
      </c>
      <c r="K38" s="475"/>
      <c r="L38" s="30">
        <f>SUM(L18:L37)</f>
        <v>0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0" t="s">
        <v>553</v>
      </c>
      <c r="K39" s="113">
        <v>6.54E-2</v>
      </c>
      <c r="L39" s="32">
        <f>L38-L40</f>
        <v>0</v>
      </c>
    </row>
    <row r="40" spans="2:12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476" t="s">
        <v>555</v>
      </c>
      <c r="K40" s="477"/>
      <c r="L40" s="114">
        <f>L38/107*100</f>
        <v>0</v>
      </c>
    </row>
    <row r="41" spans="2:12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1" t="s">
        <v>554</v>
      </c>
      <c r="K41" s="112">
        <v>7.0000000000000007E-2</v>
      </c>
      <c r="L41" s="44">
        <f>L40*K41</f>
        <v>0</v>
      </c>
    </row>
    <row r="42" spans="2:12" ht="20.149999999999999" customHeight="1" thickBot="1" x14ac:dyDescent="0.5">
      <c r="B42" s="11" t="s">
        <v>748</v>
      </c>
      <c r="C42" s="10"/>
      <c r="D42" s="10"/>
      <c r="E42" s="10"/>
      <c r="F42" s="10"/>
      <c r="G42" s="10"/>
      <c r="H42" s="10"/>
      <c r="I42" s="10"/>
      <c r="J42" s="478" t="s">
        <v>21</v>
      </c>
      <c r="K42" s="479"/>
      <c r="L42" s="33">
        <f>L40+L41</f>
        <v>0</v>
      </c>
    </row>
    <row r="43" spans="2:12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83" t="s">
        <v>749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54">
    <mergeCell ref="J42:K42"/>
    <mergeCell ref="D34:F34"/>
    <mergeCell ref="I34:J34"/>
    <mergeCell ref="D35:F35"/>
    <mergeCell ref="I35:J35"/>
    <mergeCell ref="D36:F36"/>
    <mergeCell ref="J38:K38"/>
    <mergeCell ref="D32:F32"/>
    <mergeCell ref="I32:J32"/>
    <mergeCell ref="D33:F33"/>
    <mergeCell ref="I33:J33"/>
    <mergeCell ref="J40:K40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9819-B2BA-4F2A-A81B-6C7D1D084815}">
  <sheetPr codeName="Sheet64">
    <tabColor rgb="FF7030A0"/>
    <pageSetUpPr fitToPage="1"/>
  </sheetPr>
  <dimension ref="B1:W54"/>
  <sheetViews>
    <sheetView topLeftCell="C20" zoomScaleNormal="100" workbookViewId="0">
      <selection activeCell="M36" sqref="M3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5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5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5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5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5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5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5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1365</v>
      </c>
      <c r="J10" s="17" t="s">
        <v>26</v>
      </c>
      <c r="K10" s="455">
        <v>202212477</v>
      </c>
      <c r="L10" s="456"/>
    </row>
    <row r="11" spans="2:15" ht="20.149999999999999" customHeight="1" x14ac:dyDescent="0.45">
      <c r="B11" s="480" t="s">
        <v>362</v>
      </c>
      <c r="C11" s="481"/>
      <c r="D11" s="482"/>
      <c r="E11" s="61"/>
      <c r="F11" s="444" t="str">
        <f>VLOOKUP(H10,'Delivery Location'!A$4:N$423,2,0)</f>
        <v>美林 A4                                                    38A, Margaret Drive #01-22   Singapore 142038</v>
      </c>
      <c r="G11" s="445"/>
      <c r="H11" s="446"/>
      <c r="J11" s="18" t="s">
        <v>9</v>
      </c>
      <c r="K11" s="460">
        <v>44923</v>
      </c>
      <c r="L11" s="461"/>
    </row>
    <row r="12" spans="2:15" ht="20.149999999999999" customHeight="1" x14ac:dyDescent="0.45">
      <c r="B12" s="462" t="s">
        <v>1340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N12" s="60" t="s">
        <v>1219</v>
      </c>
    </row>
    <row r="13" spans="2:15" ht="20.149999999999999" customHeight="1" x14ac:dyDescent="0.45">
      <c r="B13" s="462" t="s">
        <v>1339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  <c r="N13" s="60" t="s">
        <v>1112</v>
      </c>
      <c r="O13" s="60" t="s">
        <v>1203</v>
      </c>
    </row>
    <row r="14" spans="2:15" ht="20.149999999999999" customHeight="1" x14ac:dyDescent="0.45">
      <c r="B14" s="462" t="s">
        <v>415</v>
      </c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  <c r="N14" s="60" t="s">
        <v>1001</v>
      </c>
    </row>
    <row r="15" spans="2:15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3" ht="20.149999999999999" customHeight="1" x14ac:dyDescent="0.45">
      <c r="B18" s="149"/>
      <c r="C18" s="45" t="s">
        <v>855</v>
      </c>
      <c r="D18" s="430" t="str">
        <f>VLOOKUP(C18,'Sales Master'!B$3:D$644,2,0)</f>
        <v>Atap Seeds in Syrup 亚嗒子</v>
      </c>
      <c r="E18" s="430"/>
      <c r="F18" s="430"/>
      <c r="G18" s="99">
        <v>1</v>
      </c>
      <c r="H18" s="241" t="str">
        <f>VLOOKUP(C18,'Sales Master'!B$3:F$936,5,0)</f>
        <v>20 kgs/桶</v>
      </c>
      <c r="I18" s="491" t="str">
        <f>VLOOKUP(C18,'Sales Master'!B$3:E$936,4,0)</f>
        <v>2P</v>
      </c>
      <c r="J18" s="491"/>
      <c r="K18" s="22">
        <f>VLOOKUP(C18,'Sales Master'!B$3:CI$527,86,0)</f>
        <v>68</v>
      </c>
      <c r="L18" s="71">
        <f>K18*G18</f>
        <v>68</v>
      </c>
      <c r="N18" s="247">
        <f>VLOOKUP(C18,'Sales Master'!$B$3:$FA$3051,156,0)</f>
        <v>59.400000000000006</v>
      </c>
      <c r="O18" s="247">
        <f>K18-N18</f>
        <v>8.5999999999999943</v>
      </c>
      <c r="P18" s="247">
        <f>O18*G18</f>
        <v>8.5999999999999943</v>
      </c>
    </row>
    <row r="19" spans="2:23" ht="20.149999999999999" customHeight="1" x14ac:dyDescent="0.45">
      <c r="B19" s="149"/>
      <c r="C19" s="45" t="s">
        <v>1020</v>
      </c>
      <c r="D19" s="430" t="str">
        <f>VLOOKUP(C19,'Sales Master'!B$3:D$644,2,0)</f>
        <v>Sea Coconut 海底椰</v>
      </c>
      <c r="E19" s="430"/>
      <c r="F19" s="430"/>
      <c r="G19" s="99">
        <v>4</v>
      </c>
      <c r="H19" s="241" t="str">
        <f>VLOOKUP(C19,'Sales Master'!B$3:F$936,5,0)</f>
        <v>1 Can X A10</v>
      </c>
      <c r="I19" s="432" t="str">
        <f>VLOOKUP(C19,'Sales Master'!B$3:E$936,4,0)</f>
        <v>Chefs</v>
      </c>
      <c r="J19" s="432"/>
      <c r="K19" s="22">
        <f>VLOOKUP(C19,'Sales Master'!B$3:CI$527,86,0)</f>
        <v>19</v>
      </c>
      <c r="L19" s="71">
        <f>K19*G19</f>
        <v>76</v>
      </c>
      <c r="N19" s="247">
        <f>VLOOKUP(C19,'Sales Master'!$B$3:$FA$3051,156,0)</f>
        <v>14.333333333333334</v>
      </c>
      <c r="O19" s="247">
        <f>K19-N19</f>
        <v>4.6666666666666661</v>
      </c>
      <c r="P19" s="247">
        <f>O19*G19</f>
        <v>18.666666666666664</v>
      </c>
      <c r="V19" s="60">
        <v>15</v>
      </c>
      <c r="W19" s="60">
        <v>15</v>
      </c>
    </row>
    <row r="20" spans="2:23" ht="20.149999999999999" customHeight="1" x14ac:dyDescent="0.45">
      <c r="B20" s="149"/>
      <c r="C20" s="45"/>
      <c r="D20" s="430"/>
      <c r="E20" s="430"/>
      <c r="F20" s="430"/>
      <c r="G20" s="99"/>
      <c r="H20" s="241"/>
      <c r="I20" s="432"/>
      <c r="J20" s="432"/>
      <c r="K20" s="22"/>
      <c r="L20" s="71"/>
      <c r="N20" s="247"/>
      <c r="O20" s="247"/>
      <c r="P20" s="247"/>
    </row>
    <row r="21" spans="2:23" ht="20.149999999999999" customHeight="1" x14ac:dyDescent="0.45">
      <c r="B21" s="149"/>
      <c r="C21" s="45"/>
      <c r="D21" s="430"/>
      <c r="E21" s="430"/>
      <c r="F21" s="430"/>
      <c r="G21" s="99"/>
      <c r="H21" s="65"/>
      <c r="I21" s="431"/>
      <c r="J21" s="431"/>
      <c r="K21" s="22"/>
      <c r="L21" s="71"/>
      <c r="N21" s="247"/>
      <c r="O21" s="247"/>
      <c r="P21" s="247"/>
    </row>
    <row r="22" spans="2:23" ht="20.149999999999999" customHeight="1" x14ac:dyDescent="0.45">
      <c r="B22" s="149"/>
      <c r="C22" s="12" t="s">
        <v>1236</v>
      </c>
      <c r="D22" s="69"/>
      <c r="E22" s="69"/>
      <c r="F22" s="69"/>
      <c r="G22" s="99"/>
      <c r="H22" s="65"/>
      <c r="I22" s="65"/>
      <c r="J22" s="65"/>
      <c r="K22" s="22"/>
      <c r="L22" s="71"/>
      <c r="N22" s="247"/>
      <c r="O22" s="247"/>
      <c r="P22" s="247"/>
    </row>
    <row r="23" spans="2:23" ht="20.149999999999999" customHeight="1" x14ac:dyDescent="0.45">
      <c r="B23" s="149"/>
      <c r="C23" s="69" t="s">
        <v>1363</v>
      </c>
      <c r="G23" s="99"/>
      <c r="H23" s="241"/>
      <c r="I23" s="322"/>
      <c r="J23" s="322"/>
      <c r="K23" s="22"/>
      <c r="L23" s="71"/>
      <c r="N23" s="247"/>
      <c r="O23" s="247"/>
      <c r="P23" s="247"/>
    </row>
    <row r="24" spans="2:23" ht="20.149999999999999" customHeight="1" x14ac:dyDescent="0.45">
      <c r="B24" s="149"/>
      <c r="C24" s="69" t="s">
        <v>1364</v>
      </c>
      <c r="D24" s="69"/>
      <c r="E24" s="69"/>
      <c r="F24" s="69"/>
      <c r="G24" s="99"/>
      <c r="H24" s="65"/>
      <c r="I24" s="65"/>
      <c r="J24" s="65"/>
      <c r="K24" s="22"/>
      <c r="L24" s="71"/>
      <c r="N24" s="247"/>
      <c r="O24" s="247"/>
      <c r="P24" s="247"/>
    </row>
    <row r="25" spans="2:23" ht="20.149999999999999" customHeight="1" x14ac:dyDescent="0.45">
      <c r="B25" s="149"/>
      <c r="C25" s="69"/>
      <c r="D25" s="69"/>
      <c r="E25" s="69"/>
      <c r="F25" s="69"/>
      <c r="G25" s="99"/>
      <c r="H25" s="65"/>
      <c r="I25" s="65"/>
      <c r="J25" s="65"/>
      <c r="K25" s="22"/>
      <c r="L25" s="71"/>
      <c r="N25" s="247"/>
      <c r="O25" s="247"/>
      <c r="P25" s="247"/>
    </row>
    <row r="26" spans="2:23" ht="20.149999999999999" customHeight="1" x14ac:dyDescent="0.45">
      <c r="B26" s="70"/>
      <c r="C26" s="12"/>
      <c r="D26" s="12"/>
      <c r="E26" s="12"/>
      <c r="F26" s="12"/>
      <c r="G26" s="12"/>
      <c r="H26" s="65"/>
      <c r="I26" s="65"/>
      <c r="J26" s="65"/>
      <c r="K26" s="96"/>
      <c r="L26" s="71"/>
    </row>
    <row r="27" spans="2:23" ht="20.149999999999999" customHeight="1" x14ac:dyDescent="0.45">
      <c r="B27" s="70"/>
      <c r="C27" s="305" t="s">
        <v>1458</v>
      </c>
      <c r="E27" s="69"/>
      <c r="F27" s="69"/>
      <c r="G27" s="99"/>
      <c r="H27" s="65"/>
      <c r="I27" s="65"/>
      <c r="J27" s="65"/>
      <c r="K27" s="22"/>
      <c r="L27" s="71"/>
    </row>
    <row r="28" spans="2:23" ht="20.149999999999999" customHeight="1" x14ac:dyDescent="0.45">
      <c r="B28" s="70"/>
      <c r="C28" s="45" t="s">
        <v>924</v>
      </c>
      <c r="D28" s="430" t="str">
        <f>VLOOKUP(C28,'Sales Master'!B$3:D$643,2,0)</f>
        <v>Red Bean 红豆</v>
      </c>
      <c r="E28" s="430"/>
      <c r="F28" s="430"/>
      <c r="G28" s="99">
        <v>1</v>
      </c>
      <c r="H28" s="206" t="str">
        <f>VLOOKUP(C28,'Sales Master'!B$3:F$936,5,0)</f>
        <v>5 kgs</v>
      </c>
      <c r="I28" s="432" t="str">
        <f>VLOOKUP(C28,'Sales Master'!B$3:E$936,4,0)</f>
        <v>-</v>
      </c>
      <c r="J28" s="432"/>
      <c r="K28" s="22">
        <v>19</v>
      </c>
      <c r="L28" s="71"/>
    </row>
    <row r="29" spans="2:23" ht="20.149999999999999" customHeight="1" x14ac:dyDescent="0.45">
      <c r="B29" s="70"/>
      <c r="D29" s="69"/>
      <c r="E29" s="69"/>
      <c r="F29" s="69"/>
      <c r="G29" s="99"/>
      <c r="H29" s="65"/>
      <c r="I29" s="65"/>
      <c r="J29" s="65"/>
      <c r="K29" s="22"/>
      <c r="L29" s="71"/>
    </row>
    <row r="30" spans="2:23" ht="20.149999999999999" customHeight="1" thickBot="1" x14ac:dyDescent="0.5">
      <c r="B30" s="24"/>
      <c r="C30" s="25"/>
      <c r="D30" s="473"/>
      <c r="E30" s="473"/>
      <c r="F30" s="473"/>
      <c r="G30" s="25"/>
      <c r="H30" s="66"/>
      <c r="I30" s="66"/>
      <c r="J30" s="66"/>
      <c r="K30" s="26"/>
      <c r="L30" s="27"/>
    </row>
    <row r="31" spans="2:23" ht="20.149999999999999" customHeight="1" thickBot="1" x14ac:dyDescent="0.5">
      <c r="B31" s="28"/>
      <c r="J31" s="208"/>
      <c r="K31" s="208"/>
      <c r="L31" s="215"/>
    </row>
    <row r="32" spans="2:23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474" t="s">
        <v>13</v>
      </c>
      <c r="K32" s="475"/>
      <c r="L32" s="216">
        <f>SUM(L18:L30)</f>
        <v>144</v>
      </c>
      <c r="M32" s="95">
        <f>SUM(P13:P28)-(L32*0.02)</f>
        <v>24.38666666666666</v>
      </c>
      <c r="N32" s="248">
        <f>M32/L32</f>
        <v>0.16935185185185181</v>
      </c>
    </row>
    <row r="33" spans="2:18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0" t="s">
        <v>553</v>
      </c>
      <c r="K33" s="113">
        <v>6.54E-2</v>
      </c>
      <c r="L33" s="217">
        <f>L35</f>
        <v>10.666666666666666</v>
      </c>
    </row>
    <row r="34" spans="2:18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476" t="s">
        <v>555</v>
      </c>
      <c r="K34" s="477"/>
      <c r="L34" s="218">
        <f>L32/108*100</f>
        <v>133.33333333333331</v>
      </c>
      <c r="O34" s="95">
        <f>L32/108*100</f>
        <v>133.33333333333331</v>
      </c>
    </row>
    <row r="35" spans="2:18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1" t="s">
        <v>554</v>
      </c>
      <c r="K35" s="112">
        <v>0.08</v>
      </c>
      <c r="L35" s="219">
        <f>L34*K35</f>
        <v>10.666666666666666</v>
      </c>
      <c r="N35" s="45"/>
      <c r="O35" s="95">
        <f>O34*0.08</f>
        <v>10.666666666666666</v>
      </c>
      <c r="R35" s="99"/>
    </row>
    <row r="36" spans="2:18" ht="20.149999999999999" customHeight="1" thickBot="1" x14ac:dyDescent="0.5">
      <c r="B36" s="11" t="s">
        <v>748</v>
      </c>
      <c r="C36" s="10"/>
      <c r="D36" s="10"/>
      <c r="E36" s="10"/>
      <c r="F36" s="10"/>
      <c r="G36" s="10"/>
      <c r="H36" s="10"/>
      <c r="I36" s="10"/>
      <c r="J36" s="492" t="s">
        <v>21</v>
      </c>
      <c r="K36" s="493"/>
      <c r="L36" s="220">
        <f>L34+L35</f>
        <v>143.99999999999997</v>
      </c>
      <c r="N36" s="95">
        <f>L36-L35</f>
        <v>133.33333333333331</v>
      </c>
      <c r="O36" s="95">
        <f>L32-O35</f>
        <v>133.33333333333334</v>
      </c>
    </row>
    <row r="37" spans="2:18" ht="20.149999999999999" customHeight="1" thickTop="1" x14ac:dyDescent="0.45">
      <c r="B37" s="11" t="s">
        <v>23</v>
      </c>
      <c r="C37" s="10"/>
      <c r="D37" s="10"/>
      <c r="E37" s="10"/>
      <c r="F37" s="10"/>
      <c r="G37" s="10"/>
      <c r="J37" s="243"/>
      <c r="L37" s="238"/>
      <c r="O37" s="95">
        <f>O36-N36</f>
        <v>0</v>
      </c>
    </row>
    <row r="38" spans="2:18" ht="20.149999999999999" customHeight="1" x14ac:dyDescent="0.45">
      <c r="B38" s="183" t="s">
        <v>749</v>
      </c>
      <c r="J38" s="243"/>
      <c r="L38" s="238"/>
    </row>
    <row r="39" spans="2:18" ht="20.149999999999999" customHeight="1" x14ac:dyDescent="0.45">
      <c r="B39" s="28"/>
      <c r="J39" s="440"/>
      <c r="K39" s="440"/>
      <c r="L39" s="268"/>
    </row>
    <row r="40" spans="2:18" ht="20.149999999999999" customHeight="1" x14ac:dyDescent="0.45">
      <c r="B40" s="28"/>
      <c r="L40" s="221"/>
    </row>
    <row r="41" spans="2:18" ht="20.149999999999999" customHeight="1" x14ac:dyDescent="0.45">
      <c r="B41" s="28"/>
      <c r="L41" s="221"/>
    </row>
    <row r="42" spans="2:18" ht="20.149999999999999" customHeight="1" x14ac:dyDescent="0.45">
      <c r="B42" s="34"/>
      <c r="C42" s="35"/>
      <c r="D42" s="35"/>
      <c r="J42" s="35"/>
      <c r="K42" s="35"/>
      <c r="L42" s="222"/>
    </row>
    <row r="43" spans="2:18" ht="20.149999999999999" customHeight="1" x14ac:dyDescent="0.45">
      <c r="B43" s="28" t="s">
        <v>24</v>
      </c>
      <c r="J43" s="60" t="s">
        <v>25</v>
      </c>
      <c r="L43" s="29"/>
    </row>
    <row r="44" spans="2:18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6" spans="2:18" x14ac:dyDescent="0.45">
      <c r="G46" s="99"/>
    </row>
    <row r="47" spans="2:18" x14ac:dyDescent="0.45">
      <c r="G47" s="99"/>
    </row>
    <row r="48" spans="2:18" x14ac:dyDescent="0.45">
      <c r="G48" s="99"/>
    </row>
    <row r="49" spans="7:7" x14ac:dyDescent="0.45">
      <c r="G49" s="99"/>
    </row>
    <row r="50" spans="7:7" x14ac:dyDescent="0.45">
      <c r="G50" s="99"/>
    </row>
    <row r="51" spans="7:7" x14ac:dyDescent="0.45">
      <c r="G51" s="99"/>
    </row>
    <row r="52" spans="7:7" x14ac:dyDescent="0.45">
      <c r="G52" s="99"/>
    </row>
    <row r="53" spans="7:7" x14ac:dyDescent="0.45">
      <c r="G53" s="99"/>
    </row>
    <row r="54" spans="7:7" x14ac:dyDescent="0.45">
      <c r="G54" s="99"/>
    </row>
  </sheetData>
  <mergeCells count="30">
    <mergeCell ref="D18:F18"/>
    <mergeCell ref="I18:J18"/>
    <mergeCell ref="J39:K39"/>
    <mergeCell ref="D19:F19"/>
    <mergeCell ref="I19:J19"/>
    <mergeCell ref="D20:F20"/>
    <mergeCell ref="I20:J20"/>
    <mergeCell ref="D21:F21"/>
    <mergeCell ref="I21:J21"/>
    <mergeCell ref="D30:F30"/>
    <mergeCell ref="J32:K32"/>
    <mergeCell ref="J34:K34"/>
    <mergeCell ref="D28:F28"/>
    <mergeCell ref="I28:J28"/>
    <mergeCell ref="J36:K36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conditionalFormatting sqref="C27">
    <cfRule type="duplicateValues" dxfId="140" priority="1"/>
  </conditionalFormatting>
  <conditionalFormatting sqref="C28">
    <cfRule type="duplicateValues" dxfId="139" priority="2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08CCE-3AF8-4859-B995-0B0E30CE8CC1}">
  <sheetPr codeName="Sheet113">
    <tabColor rgb="FFFF0000"/>
    <pageSetUpPr fitToPage="1"/>
  </sheetPr>
  <dimension ref="B1:O50"/>
  <sheetViews>
    <sheetView topLeftCell="A4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504</v>
      </c>
      <c r="J10" s="17" t="s">
        <v>26</v>
      </c>
      <c r="K10" s="455">
        <v>202009266</v>
      </c>
      <c r="L10" s="456"/>
    </row>
    <row r="11" spans="2:12" ht="20.149999999999999" customHeight="1" x14ac:dyDescent="0.45">
      <c r="B11" s="480"/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 t="s">
        <v>633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270</v>
      </c>
      <c r="D18" s="430" t="e">
        <f>VLOOKUP(C18,'Sales Master'!B$3:D$316,2,0)</f>
        <v>#N/A</v>
      </c>
      <c r="E18" s="430"/>
      <c r="F18" s="430"/>
      <c r="G18" s="45">
        <v>1</v>
      </c>
      <c r="H18" s="65" t="e">
        <f>VLOOKUP(C18,'Sales Master'!B$3:F$936,5,0)</f>
        <v>#N/A</v>
      </c>
      <c r="I18" s="431" t="e">
        <f>VLOOKUP(C18,'Sales Master'!B$3:E$936,4,0)</f>
        <v>#N/A</v>
      </c>
      <c r="J18" s="431"/>
      <c r="K18" s="22" t="e">
        <f>VLOOKUP(C18,'Sales Master'!B$3:AK$527,36,0)</f>
        <v>#N/A</v>
      </c>
      <c r="L18" s="71" t="e">
        <f>K18*G18</f>
        <v>#N/A</v>
      </c>
    </row>
    <row r="19" spans="2:15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5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5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5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5" ht="20.149999999999999" customHeight="1" x14ac:dyDescent="0.45">
      <c r="B23" s="70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5" ht="20.149999999999999" customHeight="1" x14ac:dyDescent="0.45">
      <c r="B24" s="70"/>
      <c r="C24" s="45"/>
      <c r="D24" s="69"/>
      <c r="E24" s="69"/>
      <c r="F24" s="69"/>
      <c r="G24" s="45"/>
      <c r="H24" s="65"/>
      <c r="I24" s="431"/>
      <c r="J24" s="431"/>
      <c r="K24" s="22"/>
      <c r="L24" s="71"/>
    </row>
    <row r="25" spans="2:15" ht="20.149999999999999" customHeight="1" x14ac:dyDescent="0.45">
      <c r="B25" s="70"/>
      <c r="C25" s="45"/>
      <c r="D25" s="69"/>
      <c r="E25" s="69"/>
      <c r="F25" s="69"/>
      <c r="G25" s="45"/>
      <c r="H25" s="65"/>
      <c r="I25" s="431"/>
      <c r="J25" s="431"/>
      <c r="K25" s="22"/>
      <c r="L25" s="71"/>
    </row>
    <row r="26" spans="2:15" ht="20.149999999999999" customHeight="1" x14ac:dyDescent="0.45">
      <c r="B26" s="70"/>
      <c r="C26" s="45"/>
      <c r="D26" s="69"/>
      <c r="E26" s="69"/>
      <c r="F26" s="69"/>
      <c r="G26" s="45"/>
      <c r="H26" s="65"/>
      <c r="I26" s="431"/>
      <c r="J26" s="431"/>
      <c r="K26" s="22"/>
      <c r="L26" s="71"/>
    </row>
    <row r="27" spans="2:15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5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5" ht="20.149999999999999" customHeight="1" x14ac:dyDescent="0.45">
      <c r="B29" s="21"/>
      <c r="C29" s="45"/>
      <c r="D29" s="503"/>
      <c r="E29" s="503"/>
      <c r="F29" s="503"/>
      <c r="G29" s="45"/>
      <c r="H29" s="65"/>
      <c r="I29" s="431"/>
      <c r="J29" s="431"/>
      <c r="K29" s="22"/>
      <c r="L29" s="23"/>
    </row>
    <row r="30" spans="2:15" ht="20.149999999999999" customHeight="1" x14ac:dyDescent="0.45">
      <c r="B30" s="21"/>
      <c r="C30" s="45"/>
      <c r="D30" s="503"/>
      <c r="E30" s="503"/>
      <c r="F30" s="503"/>
      <c r="G30" s="45"/>
      <c r="H30" s="65"/>
      <c r="I30" s="431"/>
      <c r="J30" s="431"/>
      <c r="K30" s="22"/>
      <c r="L30" s="23"/>
    </row>
    <row r="31" spans="2:15" ht="20.149999999999999" customHeight="1" x14ac:dyDescent="0.45">
      <c r="B31" s="21"/>
      <c r="C31" s="45"/>
      <c r="D31" s="503"/>
      <c r="E31" s="503"/>
      <c r="F31" s="503"/>
      <c r="G31" s="45"/>
      <c r="H31" s="65"/>
      <c r="I31" s="431"/>
      <c r="J31" s="431"/>
      <c r="K31" s="22"/>
      <c r="L31" s="23"/>
    </row>
    <row r="32" spans="2:15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</row>
    <row r="35" spans="2:12" ht="20.149999999999999" customHeight="1" x14ac:dyDescent="0.45">
      <c r="B35" s="21"/>
      <c r="C35" s="45"/>
      <c r="D35" s="503"/>
      <c r="E35" s="503"/>
      <c r="F35" s="503"/>
      <c r="G35" s="45"/>
      <c r="H35" s="65"/>
      <c r="I35" s="65"/>
      <c r="J35" s="65"/>
      <c r="K35" s="22"/>
      <c r="L35" s="23"/>
    </row>
    <row r="36" spans="2:12" ht="20.149999999999999" customHeight="1" thickBot="1" x14ac:dyDescent="0.5">
      <c r="B36" s="24"/>
      <c r="C36" s="25"/>
      <c r="D36" s="473"/>
      <c r="E36" s="473"/>
      <c r="F36" s="473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474" t="s">
        <v>13</v>
      </c>
      <c r="K38" s="475"/>
      <c r="L38" s="30" t="e">
        <f>SUM(L18:L37)</f>
        <v>#N/A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0" t="s">
        <v>553</v>
      </c>
      <c r="K39" s="113">
        <v>6.54E-2</v>
      </c>
      <c r="L39" s="32" t="e">
        <f>L41</f>
        <v>#N/A</v>
      </c>
    </row>
    <row r="40" spans="2:12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476" t="s">
        <v>555</v>
      </c>
      <c r="K40" s="477"/>
      <c r="L40" s="114" t="e">
        <f>L38/107*100</f>
        <v>#N/A</v>
      </c>
    </row>
    <row r="41" spans="2:12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1" t="s">
        <v>554</v>
      </c>
      <c r="K41" s="112">
        <v>7.0000000000000007E-2</v>
      </c>
      <c r="L41" s="44" t="e">
        <f>L40*K41</f>
        <v>#N/A</v>
      </c>
    </row>
    <row r="42" spans="2:12" ht="20.149999999999999" customHeight="1" thickBot="1" x14ac:dyDescent="0.5">
      <c r="B42" s="11" t="s">
        <v>748</v>
      </c>
      <c r="C42" s="10"/>
      <c r="D42" s="10"/>
      <c r="E42" s="10"/>
      <c r="F42" s="10"/>
      <c r="G42" s="10"/>
      <c r="H42" s="10"/>
      <c r="I42" s="10"/>
      <c r="J42" s="478" t="s">
        <v>21</v>
      </c>
      <c r="K42" s="479"/>
      <c r="L42" s="33" t="e">
        <f>L40+L41</f>
        <v>#N/A</v>
      </c>
    </row>
    <row r="43" spans="2:12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83" t="s">
        <v>749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48">
    <mergeCell ref="I22:J22"/>
    <mergeCell ref="D23:F23"/>
    <mergeCell ref="I23:J23"/>
    <mergeCell ref="I24:J24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30:J30"/>
    <mergeCell ref="D31:F31"/>
    <mergeCell ref="I31:J31"/>
    <mergeCell ref="D32:F32"/>
    <mergeCell ref="D17:F17"/>
    <mergeCell ref="I17:J17"/>
    <mergeCell ref="D18:F18"/>
    <mergeCell ref="I18:J18"/>
    <mergeCell ref="I25:J25"/>
    <mergeCell ref="D19:F19"/>
    <mergeCell ref="I19:J19"/>
    <mergeCell ref="D20:F20"/>
    <mergeCell ref="I20:J20"/>
    <mergeCell ref="D21:F21"/>
    <mergeCell ref="I21:J21"/>
    <mergeCell ref="D22:F22"/>
    <mergeCell ref="B1:L8"/>
    <mergeCell ref="J42:K42"/>
    <mergeCell ref="D34:F34"/>
    <mergeCell ref="D35:F35"/>
    <mergeCell ref="D36:F36"/>
    <mergeCell ref="J38:K38"/>
    <mergeCell ref="J40:K40"/>
    <mergeCell ref="D33:F33"/>
    <mergeCell ref="I26:J26"/>
    <mergeCell ref="D27:F27"/>
    <mergeCell ref="I27:J27"/>
    <mergeCell ref="D28:F28"/>
    <mergeCell ref="I28:J28"/>
    <mergeCell ref="D29:F29"/>
    <mergeCell ref="I29:J29"/>
    <mergeCell ref="D30:F30"/>
  </mergeCells>
  <pageMargins left="0.70866141732283472" right="0.31496062992125984" top="0.55118110236220474" bottom="0" header="0.31496062992125984" footer="0.31496062992125984"/>
  <pageSetup paperSize="9" scale="74" fitToHeight="0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6B862-6B9F-44AC-BE4B-2E6C319BCD8F}">
  <sheetPr codeName="Sheet114">
    <tabColor rgb="FFFFFF00"/>
    <pageSetUpPr fitToPage="1"/>
  </sheetPr>
  <dimension ref="B1:T51"/>
  <sheetViews>
    <sheetView zoomScaleNormal="100" workbookViewId="0">
      <selection activeCell="B1" sqref="B1:L5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432</v>
      </c>
      <c r="J10" s="17" t="s">
        <v>26</v>
      </c>
      <c r="K10" s="455">
        <v>202011315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Varie Tea                                                 Potong Pasir Ave 1, Blk 146  01-137  Singapore 350146</v>
      </c>
      <c r="G11" s="445"/>
      <c r="H11" s="446"/>
      <c r="J11" s="18" t="s">
        <v>9</v>
      </c>
      <c r="K11" s="502" t="s">
        <v>732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20" ht="20.149999999999999" customHeight="1" x14ac:dyDescent="0.45">
      <c r="B18" s="21"/>
      <c r="C18" s="45" t="s">
        <v>260</v>
      </c>
      <c r="D18" s="430" t="e">
        <f>VLOOKUP(C18,'Sales Master'!B$3:D$316,2,0)</f>
        <v>#N/A</v>
      </c>
      <c r="E18" s="430"/>
      <c r="F18" s="430"/>
      <c r="G18" s="45">
        <v>1</v>
      </c>
      <c r="H18" s="65" t="e">
        <f>VLOOKUP(C18,'Sales Master'!B$3:F$936,5,0)</f>
        <v>#N/A</v>
      </c>
      <c r="I18" s="431" t="e">
        <f>VLOOKUP(C18,'Sales Master'!B$3:E$936,4,0)</f>
        <v>#N/A</v>
      </c>
      <c r="J18" s="431"/>
      <c r="K18" s="22" t="e">
        <f>VLOOKUP(C18,'Sales Master'!B$3:AA$936,26,0)</f>
        <v>#N/A</v>
      </c>
      <c r="L18" s="23" t="e">
        <f>K18*G18</f>
        <v>#N/A</v>
      </c>
      <c r="N18" s="94" t="s">
        <v>279</v>
      </c>
      <c r="O18" s="60" t="s">
        <v>414</v>
      </c>
      <c r="R18" s="94">
        <v>6</v>
      </c>
      <c r="S18" s="94" t="s">
        <v>69</v>
      </c>
      <c r="T18" s="60" t="s">
        <v>39</v>
      </c>
    </row>
    <row r="19" spans="2:20" ht="20.149999999999999" customHeight="1" x14ac:dyDescent="0.45">
      <c r="B19" s="21"/>
      <c r="C19" s="45" t="s">
        <v>342</v>
      </c>
      <c r="D19" s="430" t="e">
        <f>VLOOKUP(C19,'Sales Master'!B$3:D$316,2,0)</f>
        <v>#N/A</v>
      </c>
      <c r="E19" s="430"/>
      <c r="F19" s="430"/>
      <c r="G19" s="45">
        <v>1</v>
      </c>
      <c r="H19" s="65" t="e">
        <f>VLOOKUP(C19,'Sales Master'!B$3:F$936,5,0)</f>
        <v>#N/A</v>
      </c>
      <c r="I19" s="431" t="e">
        <f>VLOOKUP(C19,'Sales Master'!B$3:E$936,4,0)</f>
        <v>#N/A</v>
      </c>
      <c r="J19" s="431"/>
      <c r="K19" s="22" t="e">
        <f>VLOOKUP(C19,'Sales Master'!B$3:AA$936,26,0)</f>
        <v>#N/A</v>
      </c>
      <c r="L19" s="23" t="e">
        <f>K19*G19</f>
        <v>#N/A</v>
      </c>
    </row>
    <row r="20" spans="2:20" ht="20.149999999999999" customHeight="1" x14ac:dyDescent="0.45">
      <c r="B20" s="21"/>
      <c r="C20" s="45" t="s">
        <v>279</v>
      </c>
      <c r="D20" s="430" t="e">
        <f>VLOOKUP(C20,'Sales Master'!B$3:D$316,2,0)</f>
        <v>#N/A</v>
      </c>
      <c r="E20" s="430"/>
      <c r="F20" s="430"/>
      <c r="G20" s="45">
        <v>6</v>
      </c>
      <c r="H20" s="65" t="e">
        <f>VLOOKUP(C20,'Sales Master'!B$3:F$936,5,0)</f>
        <v>#N/A</v>
      </c>
      <c r="I20" s="431" t="e">
        <f>VLOOKUP(C20,'Sales Master'!B$3:E$936,4,0)</f>
        <v>#N/A</v>
      </c>
      <c r="J20" s="431"/>
      <c r="K20" s="22" t="e">
        <f>VLOOKUP(C20,'Sales Master'!B$3:AA$936,26,0)</f>
        <v>#N/A</v>
      </c>
      <c r="L20" s="23" t="e">
        <f>K20*G20</f>
        <v>#N/A</v>
      </c>
    </row>
    <row r="21" spans="2:20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23"/>
    </row>
    <row r="22" spans="2:20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23"/>
    </row>
    <row r="23" spans="2:20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23"/>
    </row>
    <row r="24" spans="2:20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22"/>
      <c r="L24" s="23"/>
    </row>
    <row r="25" spans="2:20" ht="20.149999999999999" customHeight="1" x14ac:dyDescent="0.45">
      <c r="B25" s="21"/>
      <c r="C25" s="45"/>
      <c r="D25" s="430"/>
      <c r="E25" s="430"/>
      <c r="F25" s="430"/>
      <c r="G25" s="45"/>
      <c r="H25" s="65"/>
      <c r="I25" s="431"/>
      <c r="J25" s="431"/>
      <c r="K25" s="22"/>
      <c r="L25" s="23"/>
    </row>
    <row r="26" spans="2:20" ht="20.149999999999999" customHeight="1" x14ac:dyDescent="0.45">
      <c r="B26" s="21"/>
      <c r="C26" s="172" t="s">
        <v>629</v>
      </c>
      <c r="D26" s="121"/>
      <c r="E26" s="121"/>
      <c r="F26" s="121"/>
      <c r="G26" s="45"/>
      <c r="H26" s="65"/>
      <c r="I26" s="431"/>
      <c r="J26" s="431"/>
      <c r="K26" s="22"/>
      <c r="L26" s="23"/>
    </row>
    <row r="27" spans="2:20" ht="20.149999999999999" customHeight="1" x14ac:dyDescent="0.45">
      <c r="B27" s="21"/>
      <c r="C27" s="45" t="s">
        <v>342</v>
      </c>
      <c r="D27" s="430" t="e">
        <f>VLOOKUP(C27,'Sales Master'!B$3:D$316,2,0)</f>
        <v>#N/A</v>
      </c>
      <c r="E27" s="430"/>
      <c r="F27" s="430"/>
      <c r="G27" s="45">
        <v>1</v>
      </c>
      <c r="H27" s="65" t="e">
        <f>VLOOKUP(C27,'Sales Master'!B$3:F$936,5,0)</f>
        <v>#N/A</v>
      </c>
      <c r="I27" s="431" t="e">
        <f>VLOOKUP(C27,'Sales Master'!B$3:E$936,4,0)</f>
        <v>#N/A</v>
      </c>
      <c r="J27" s="431"/>
      <c r="K27" s="22">
        <v>13</v>
      </c>
      <c r="L27" s="23"/>
    </row>
    <row r="28" spans="2:20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68"/>
    </row>
    <row r="29" spans="2:20" ht="20.149999999999999" customHeight="1" x14ac:dyDescent="0.45">
      <c r="B29" s="21"/>
      <c r="C29" s="45"/>
      <c r="D29" s="503"/>
      <c r="E29" s="503"/>
      <c r="F29" s="503"/>
      <c r="G29" s="45"/>
      <c r="H29" s="65"/>
      <c r="I29" s="431"/>
      <c r="J29" s="431"/>
      <c r="K29" s="22"/>
      <c r="L29" s="23"/>
    </row>
    <row r="30" spans="2:20" ht="20.149999999999999" customHeight="1" x14ac:dyDescent="0.45">
      <c r="B30" s="21"/>
      <c r="C30" s="45"/>
      <c r="D30" s="503"/>
      <c r="E30" s="503"/>
      <c r="F30" s="503"/>
      <c r="G30" s="45"/>
      <c r="H30" s="65"/>
      <c r="I30" s="431"/>
      <c r="J30" s="431"/>
      <c r="K30" s="22"/>
      <c r="L30" s="23"/>
    </row>
    <row r="31" spans="2:20" ht="20.149999999999999" customHeight="1" x14ac:dyDescent="0.45">
      <c r="B31" s="21"/>
      <c r="C31" s="45"/>
      <c r="D31" s="503"/>
      <c r="E31" s="503"/>
      <c r="F31" s="503"/>
      <c r="G31" s="45"/>
      <c r="H31" s="65"/>
      <c r="I31" s="431"/>
      <c r="J31" s="431"/>
      <c r="K31" s="22"/>
      <c r="L31" s="23"/>
    </row>
    <row r="32" spans="2:20" ht="20.149999999999999" customHeight="1" x14ac:dyDescent="0.45">
      <c r="B32" s="21"/>
      <c r="C32" s="45"/>
      <c r="D32" s="503"/>
      <c r="E32" s="503"/>
      <c r="F32" s="503"/>
      <c r="G32" s="45"/>
      <c r="H32" s="65"/>
      <c r="I32" s="431"/>
      <c r="J32" s="431"/>
      <c r="K32" s="22"/>
      <c r="L32" s="23"/>
    </row>
    <row r="33" spans="2:12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</row>
    <row r="35" spans="2:12" ht="20.149999999999999" customHeight="1" x14ac:dyDescent="0.45">
      <c r="B35" s="21"/>
      <c r="C35" s="45"/>
      <c r="D35" s="503"/>
      <c r="E35" s="503"/>
      <c r="F35" s="503"/>
      <c r="G35" s="45"/>
      <c r="H35" s="65"/>
      <c r="I35" s="65"/>
      <c r="J35" s="65"/>
      <c r="K35" s="22"/>
      <c r="L35" s="23"/>
    </row>
    <row r="36" spans="2:12" ht="20.149999999999999" customHeight="1" x14ac:dyDescent="0.45">
      <c r="B36" s="21"/>
      <c r="C36" s="45"/>
      <c r="D36" s="503"/>
      <c r="E36" s="503"/>
      <c r="F36" s="503"/>
      <c r="G36" s="45"/>
      <c r="H36" s="65"/>
      <c r="I36" s="65"/>
      <c r="J36" s="65"/>
      <c r="K36" s="22"/>
      <c r="L36" s="23"/>
    </row>
    <row r="37" spans="2:12" ht="20.149999999999999" customHeight="1" thickBot="1" x14ac:dyDescent="0.5">
      <c r="B37" s="24"/>
      <c r="C37" s="25"/>
      <c r="D37" s="473"/>
      <c r="E37" s="473"/>
      <c r="F37" s="473"/>
      <c r="G37" s="25"/>
      <c r="H37" s="66"/>
      <c r="I37" s="66"/>
      <c r="J37" s="66"/>
      <c r="K37" s="26"/>
      <c r="L37" s="27"/>
    </row>
    <row r="38" spans="2:12" ht="20.149999999999999" customHeight="1" thickBot="1" x14ac:dyDescent="0.5">
      <c r="B38" s="28"/>
      <c r="L38" s="29"/>
    </row>
    <row r="39" spans="2:12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474" t="s">
        <v>13</v>
      </c>
      <c r="K39" s="475"/>
      <c r="L39" s="30" t="e">
        <f>SUM(L17:L38)</f>
        <v>#N/A</v>
      </c>
    </row>
    <row r="40" spans="2:12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110" t="s">
        <v>553</v>
      </c>
      <c r="K40" s="113">
        <v>6.54E-2</v>
      </c>
      <c r="L40" s="32" t="e">
        <f>L42</f>
        <v>#N/A</v>
      </c>
    </row>
    <row r="41" spans="2:12" ht="20.149999999999999" customHeight="1" x14ac:dyDescent="0.45">
      <c r="B41" s="11" t="s">
        <v>18</v>
      </c>
      <c r="C41" s="10"/>
      <c r="D41" s="10"/>
      <c r="E41" s="10"/>
      <c r="F41" s="10"/>
      <c r="G41" s="10"/>
      <c r="H41" s="10"/>
      <c r="I41" s="10"/>
      <c r="J41" s="476" t="s">
        <v>555</v>
      </c>
      <c r="K41" s="477"/>
      <c r="L41" s="114" t="e">
        <f>L39/107*100</f>
        <v>#N/A</v>
      </c>
    </row>
    <row r="42" spans="2:12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J42" s="111" t="s">
        <v>554</v>
      </c>
      <c r="K42" s="112">
        <v>7.0000000000000007E-2</v>
      </c>
      <c r="L42" s="44" t="e">
        <f>L41*K42</f>
        <v>#N/A</v>
      </c>
    </row>
    <row r="43" spans="2:12" ht="20.149999999999999" customHeight="1" thickBot="1" x14ac:dyDescent="0.5">
      <c r="B43" s="11" t="s">
        <v>748</v>
      </c>
      <c r="C43" s="10"/>
      <c r="D43" s="10"/>
      <c r="E43" s="10"/>
      <c r="F43" s="10"/>
      <c r="G43" s="10"/>
      <c r="H43" s="10"/>
      <c r="I43" s="10"/>
      <c r="J43" s="478" t="s">
        <v>21</v>
      </c>
      <c r="K43" s="479"/>
      <c r="L43" s="33" t="e">
        <f>SUM(L41:L42)</f>
        <v>#N/A</v>
      </c>
    </row>
    <row r="44" spans="2:12" ht="20.149999999999999" customHeight="1" x14ac:dyDescent="0.45">
      <c r="B44" s="11" t="s">
        <v>23</v>
      </c>
      <c r="C44" s="10"/>
      <c r="D44" s="10"/>
      <c r="E44" s="10"/>
      <c r="F44" s="10"/>
      <c r="G44" s="10"/>
      <c r="H44" s="10"/>
      <c r="I44" s="10"/>
      <c r="L44" s="29"/>
    </row>
    <row r="45" spans="2:12" ht="20.149999999999999" customHeight="1" x14ac:dyDescent="0.45">
      <c r="B45" s="183" t="s">
        <v>749</v>
      </c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24</v>
      </c>
      <c r="J50" s="60" t="s">
        <v>25</v>
      </c>
      <c r="L50" s="29"/>
    </row>
    <row r="51" spans="2:12" ht="19" thickBot="1" x14ac:dyDescent="0.5">
      <c r="B51" s="37"/>
      <c r="C51" s="62"/>
      <c r="D51" s="62"/>
      <c r="E51" s="62"/>
      <c r="F51" s="62"/>
      <c r="G51" s="62"/>
      <c r="H51" s="62"/>
      <c r="I51" s="62"/>
      <c r="J51" s="62"/>
      <c r="K51" s="62"/>
      <c r="L51" s="38"/>
    </row>
  </sheetData>
  <mergeCells count="52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31:F31"/>
    <mergeCell ref="D24:F24"/>
    <mergeCell ref="I24:J24"/>
    <mergeCell ref="D25:F25"/>
    <mergeCell ref="I25:J25"/>
    <mergeCell ref="I28:J28"/>
    <mergeCell ref="D29:F29"/>
    <mergeCell ref="I29:J29"/>
    <mergeCell ref="I31:J31"/>
    <mergeCell ref="I20:J20"/>
    <mergeCell ref="D21:F21"/>
    <mergeCell ref="I21:J21"/>
    <mergeCell ref="D30:F30"/>
    <mergeCell ref="I30:J30"/>
    <mergeCell ref="D22:F22"/>
    <mergeCell ref="I22:J22"/>
    <mergeCell ref="D23:F23"/>
    <mergeCell ref="I23:J23"/>
    <mergeCell ref="D32:F32"/>
    <mergeCell ref="I32:J32"/>
    <mergeCell ref="B1:L8"/>
    <mergeCell ref="J43:K43"/>
    <mergeCell ref="D35:F35"/>
    <mergeCell ref="D36:F36"/>
    <mergeCell ref="D37:F37"/>
    <mergeCell ref="J39:K39"/>
    <mergeCell ref="J41:K41"/>
    <mergeCell ref="I26:J26"/>
    <mergeCell ref="D27:F27"/>
    <mergeCell ref="I27:J27"/>
    <mergeCell ref="D34:F34"/>
    <mergeCell ref="D28:F28"/>
    <mergeCell ref="D33:F33"/>
    <mergeCell ref="D20:F20"/>
  </mergeCells>
  <printOptions horizontalCentered="1"/>
  <pageMargins left="0.70866141732283472" right="0.31496062992125984" top="0.55118110236220474" bottom="0" header="0.31496062992125984" footer="0.31496062992125984"/>
  <pageSetup paperSize="9" scale="73" fitToHeight="0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165D2-8BD9-4B06-B3C4-9FFD5A631596}">
  <sheetPr codeName="Sheet116">
    <tabColor rgb="FFFF0000"/>
    <pageSetUpPr fitToPage="1"/>
  </sheetPr>
  <dimension ref="B1:O49"/>
  <sheetViews>
    <sheetView topLeftCell="A13" zoomScaleNormal="100" workbookViewId="0">
      <selection activeCell="K23" sqref="K2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447</v>
      </c>
      <c r="J10" s="17" t="s">
        <v>26</v>
      </c>
      <c r="K10" s="455">
        <v>202010479</v>
      </c>
      <c r="L10" s="456"/>
    </row>
    <row r="11" spans="2:12" ht="20.149999999999999" customHeight="1" x14ac:dyDescent="0.45">
      <c r="B11" s="480" t="s">
        <v>249</v>
      </c>
      <c r="C11" s="481"/>
      <c r="D11" s="482"/>
      <c r="E11" s="61"/>
      <c r="F11" s="444" t="str">
        <f>VLOOKUP(H10,'Delivery Location'!A$4:N$423,2,0)</f>
        <v>My Daily Juice                                            The Sail, 2 Marina Boulevard           #B1-08A Singapore 018987</v>
      </c>
      <c r="G11" s="445"/>
      <c r="H11" s="446"/>
      <c r="J11" s="18" t="s">
        <v>9</v>
      </c>
      <c r="K11" s="502" t="s">
        <v>715</v>
      </c>
      <c r="L11" s="466"/>
    </row>
    <row r="12" spans="2:12" ht="20.149999999999999" customHeight="1" x14ac:dyDescent="0.45">
      <c r="B12" s="462" t="s">
        <v>743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 t="s">
        <v>744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12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342</v>
      </c>
      <c r="D18" s="430" t="e">
        <f>VLOOKUP(C18,'Sales Master'!B$3:D$316,2,0)</f>
        <v>#N/A</v>
      </c>
      <c r="E18" s="430"/>
      <c r="F18" s="430"/>
      <c r="G18" s="45">
        <v>8</v>
      </c>
      <c r="H18" s="65" t="e">
        <f>VLOOKUP(C18,'Sales Master'!B$3:F$936,5,0)</f>
        <v>#N/A</v>
      </c>
      <c r="I18" s="431" t="e">
        <f>VLOOKUP(C18,'Sales Master'!B$3:E$936,4,0)</f>
        <v>#N/A</v>
      </c>
      <c r="J18" s="431"/>
      <c r="K18" s="22">
        <v>13</v>
      </c>
      <c r="L18" s="71">
        <f>K18*G18</f>
        <v>104</v>
      </c>
    </row>
    <row r="19" spans="2:15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5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5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5" ht="20.149999999999999" customHeight="1" x14ac:dyDescent="0.45">
      <c r="B22" s="70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5" ht="20.149999999999999" customHeight="1" x14ac:dyDescent="0.45">
      <c r="B23" s="70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5" ht="20.149999999999999" customHeight="1" x14ac:dyDescent="0.45">
      <c r="B24" s="70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5" ht="20.149999999999999" customHeight="1" x14ac:dyDescent="0.45">
      <c r="B25" s="70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5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5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5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5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71"/>
    </row>
    <row r="30" spans="2:15" ht="20.149999999999999" customHeight="1" x14ac:dyDescent="0.45">
      <c r="B30" s="21"/>
      <c r="C30" s="45"/>
      <c r="D30" s="430"/>
      <c r="E30" s="430"/>
      <c r="F30" s="430"/>
      <c r="G30" s="45"/>
      <c r="H30" s="65"/>
      <c r="I30" s="431"/>
      <c r="J30" s="431"/>
      <c r="K30" s="22"/>
      <c r="L30" s="71"/>
    </row>
    <row r="31" spans="2:15" ht="20.149999999999999" customHeight="1" x14ac:dyDescent="0.45">
      <c r="B31" s="21"/>
      <c r="C31" s="45"/>
      <c r="D31" s="430"/>
      <c r="E31" s="430"/>
      <c r="F31" s="430"/>
      <c r="G31" s="45"/>
      <c r="H31" s="65"/>
      <c r="I31" s="431"/>
      <c r="J31" s="431"/>
      <c r="K31" s="22"/>
      <c r="L31" s="71"/>
    </row>
    <row r="32" spans="2:15" ht="20.149999999999999" customHeight="1" x14ac:dyDescent="0.45">
      <c r="B32" s="21"/>
      <c r="C32" s="45"/>
      <c r="D32" s="430"/>
      <c r="E32" s="430"/>
      <c r="F32" s="430"/>
      <c r="G32" s="45"/>
      <c r="H32" s="65"/>
      <c r="I32" s="431"/>
      <c r="J32" s="431"/>
      <c r="K32" s="22"/>
      <c r="L32" s="71"/>
    </row>
    <row r="33" spans="2:12" ht="20.149999999999999" customHeight="1" x14ac:dyDescent="0.45">
      <c r="B33" s="21"/>
      <c r="C33" s="45"/>
      <c r="D33" s="430"/>
      <c r="E33" s="430"/>
      <c r="F33" s="430"/>
      <c r="G33" s="45"/>
      <c r="H33" s="65"/>
      <c r="I33" s="431"/>
      <c r="J33" s="431"/>
      <c r="K33" s="22"/>
      <c r="L33" s="71"/>
    </row>
    <row r="34" spans="2:12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473"/>
      <c r="E35" s="473"/>
      <c r="F35" s="473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474" t="s">
        <v>13</v>
      </c>
      <c r="K37" s="475"/>
      <c r="L37" s="30">
        <f>SUM(L15:L36)</f>
        <v>104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0" t="s">
        <v>553</v>
      </c>
      <c r="K38" s="113">
        <v>6.54E-2</v>
      </c>
      <c r="L38" s="32">
        <f>L40</f>
        <v>6.8037383177570101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476" t="s">
        <v>555</v>
      </c>
      <c r="K39" s="477"/>
      <c r="L39" s="114">
        <f>L37/107*100</f>
        <v>97.196261682242991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1" t="s">
        <v>554</v>
      </c>
      <c r="K40" s="112">
        <v>7.0000000000000007E-2</v>
      </c>
      <c r="L40" s="44">
        <f>L39*K40</f>
        <v>6.8037383177570101</v>
      </c>
    </row>
    <row r="41" spans="2:12" ht="20.149999999999999" customHeight="1" thickBot="1" x14ac:dyDescent="0.5">
      <c r="B41" s="11" t="s">
        <v>748</v>
      </c>
      <c r="C41" s="10"/>
      <c r="D41" s="10"/>
      <c r="E41" s="10"/>
      <c r="F41" s="10"/>
      <c r="G41" s="10"/>
      <c r="H41" s="10"/>
      <c r="I41" s="10"/>
      <c r="J41" s="478" t="s">
        <v>21</v>
      </c>
      <c r="K41" s="479"/>
      <c r="L41" s="33">
        <f>L39+L40</f>
        <v>104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83" t="s">
        <v>749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5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41:K41"/>
    <mergeCell ref="D31:F31"/>
    <mergeCell ref="I31:J31"/>
    <mergeCell ref="D32:F32"/>
    <mergeCell ref="I32:J32"/>
    <mergeCell ref="D33:F33"/>
    <mergeCell ref="I33:J33"/>
    <mergeCell ref="D34:F34"/>
    <mergeCell ref="D35:F35"/>
    <mergeCell ref="J37:K37"/>
    <mergeCell ref="J39:K39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501A8-1709-4E59-AC1D-DFF2F23E4402}">
  <sheetPr codeName="Sheet117">
    <tabColor rgb="FFFFFF00"/>
    <pageSetUpPr fitToPage="1"/>
  </sheetPr>
  <dimension ref="B1:O49"/>
  <sheetViews>
    <sheetView topLeftCell="A6"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491</v>
      </c>
      <c r="J10" s="17" t="s">
        <v>26</v>
      </c>
      <c r="K10" s="455">
        <v>202001226</v>
      </c>
      <c r="L10" s="456"/>
    </row>
    <row r="11" spans="2:12" ht="20.149999999999999" customHeight="1" x14ac:dyDescent="0.45">
      <c r="B11" s="480" t="s">
        <v>552</v>
      </c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>
        <v>44136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12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272</v>
      </c>
      <c r="D18" s="430" t="e">
        <f>VLOOKUP(C18,'Sales Master'!B$3:D$316,2,0)</f>
        <v>#N/A</v>
      </c>
      <c r="E18" s="430"/>
      <c r="F18" s="430"/>
      <c r="G18" s="45">
        <v>5</v>
      </c>
      <c r="H18" s="65" t="e">
        <f>VLOOKUP(C18,'Sales Master'!B$3:F$936,5,0)</f>
        <v>#N/A</v>
      </c>
      <c r="I18" s="431" t="e">
        <f>VLOOKUP(C18,'Sales Master'!B$3:E$936,4,0)</f>
        <v>#N/A</v>
      </c>
      <c r="J18" s="431"/>
      <c r="K18" s="22">
        <v>22</v>
      </c>
      <c r="L18" s="71">
        <f>K18*G18</f>
        <v>110</v>
      </c>
    </row>
    <row r="19" spans="2:15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5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5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5" ht="20.149999999999999" customHeight="1" x14ac:dyDescent="0.45">
      <c r="B22" s="70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5" ht="20.149999999999999" customHeight="1" x14ac:dyDescent="0.45">
      <c r="B23" s="70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5" ht="20.149999999999999" customHeight="1" x14ac:dyDescent="0.45">
      <c r="B24" s="70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5" ht="20.149999999999999" customHeight="1" x14ac:dyDescent="0.45">
      <c r="B25" s="70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5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5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5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5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71"/>
    </row>
    <row r="30" spans="2:15" ht="20.149999999999999" customHeight="1" x14ac:dyDescent="0.45">
      <c r="B30" s="21"/>
      <c r="C30" s="45"/>
      <c r="D30" s="503"/>
      <c r="E30" s="503"/>
      <c r="F30" s="503"/>
      <c r="G30" s="45"/>
      <c r="H30" s="65"/>
      <c r="I30" s="431"/>
      <c r="J30" s="431"/>
      <c r="K30" s="22"/>
      <c r="L30" s="23"/>
    </row>
    <row r="31" spans="2:15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15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473"/>
      <c r="E35" s="473"/>
      <c r="F35" s="473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474" t="s">
        <v>13</v>
      </c>
      <c r="K37" s="475"/>
      <c r="L37" s="30">
        <f>SUM(L16:L36)</f>
        <v>110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0" t="s">
        <v>553</v>
      </c>
      <c r="K38" s="113">
        <v>6.54E-2</v>
      </c>
      <c r="L38" s="32">
        <f>L40</f>
        <v>7.1962616822429899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476" t="s">
        <v>555</v>
      </c>
      <c r="K39" s="477"/>
      <c r="L39" s="114">
        <f>L37/107*100</f>
        <v>102.803738317757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1" t="s">
        <v>554</v>
      </c>
      <c r="K40" s="112">
        <v>7.0000000000000007E-2</v>
      </c>
      <c r="L40" s="44">
        <f>L39*K40</f>
        <v>7.1962616822429899</v>
      </c>
    </row>
    <row r="41" spans="2:12" ht="20.149999999999999" customHeight="1" thickBot="1" x14ac:dyDescent="0.5">
      <c r="B41" s="11" t="s">
        <v>748</v>
      </c>
      <c r="C41" s="10"/>
      <c r="D41" s="10"/>
      <c r="E41" s="10"/>
      <c r="F41" s="10"/>
      <c r="G41" s="10"/>
      <c r="H41" s="10"/>
      <c r="I41" s="10"/>
      <c r="J41" s="478" t="s">
        <v>21</v>
      </c>
      <c r="K41" s="479"/>
      <c r="L41" s="33">
        <f>L39+L40</f>
        <v>109.99999999999999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83" t="s">
        <v>749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39:K39"/>
    <mergeCell ref="J41:K41"/>
    <mergeCell ref="D31:F31"/>
    <mergeCell ref="D32:F32"/>
    <mergeCell ref="D33:F33"/>
    <mergeCell ref="D34:F34"/>
    <mergeCell ref="D35:F35"/>
    <mergeCell ref="J37:K37"/>
  </mergeCells>
  <pageMargins left="0.70866141732283472" right="0.31496062992125984" top="0.55118110236220474" bottom="0" header="0.31496062992125984" footer="0.31496062992125984"/>
  <pageSetup paperSize="9" scale="73" fitToHeight="0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33B65-45DD-4CD4-A878-670FB894B411}">
  <sheetPr codeName="Sheet118">
    <tabColor rgb="FFFF0000"/>
    <pageSetUpPr fitToPage="1"/>
  </sheetPr>
  <dimension ref="B1:V50"/>
  <sheetViews>
    <sheetView topLeftCell="A7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581</v>
      </c>
      <c r="J10" s="17" t="s">
        <v>26</v>
      </c>
      <c r="K10" s="455">
        <v>202008536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NGAI FONG FOODSTUFF TRADING                 Blk 15, Woodlands Loop #01-51 Singapore 738322</v>
      </c>
      <c r="G11" s="445"/>
      <c r="H11" s="446"/>
      <c r="J11" s="18" t="s">
        <v>9</v>
      </c>
      <c r="K11" s="502" t="s">
        <v>630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124" t="s">
        <v>584</v>
      </c>
      <c r="O17" s="124" t="s">
        <v>583</v>
      </c>
    </row>
    <row r="18" spans="2:22" ht="20.149999999999999" customHeight="1" x14ac:dyDescent="0.45">
      <c r="B18" s="21"/>
      <c r="C18" s="45" t="s">
        <v>271</v>
      </c>
      <c r="D18" s="430" t="e">
        <f>VLOOKUP(C18,'Sales Master'!B$3:D$316,2,0)</f>
        <v>#N/A</v>
      </c>
      <c r="E18" s="430"/>
      <c r="F18" s="430"/>
      <c r="G18" s="45">
        <v>4</v>
      </c>
      <c r="H18" s="65" t="e">
        <f>VLOOKUP(C18,'Sales Master'!B$3:F$936,5,0)</f>
        <v>#N/A</v>
      </c>
      <c r="I18" s="431" t="e">
        <f>VLOOKUP(C18,'Sales Master'!B$3:E$936,4,0)</f>
        <v>#N/A</v>
      </c>
      <c r="J18" s="431"/>
      <c r="K18" s="22">
        <f>VLOOKUP(C18,$N$18:$O$135,2,0)</f>
        <v>31</v>
      </c>
      <c r="L18" s="71">
        <f>K18*G18</f>
        <v>124</v>
      </c>
      <c r="N18" s="125" t="s">
        <v>271</v>
      </c>
      <c r="O18" s="126">
        <v>31</v>
      </c>
      <c r="P18" s="94"/>
      <c r="Q18" s="94"/>
      <c r="R18" s="94" t="s">
        <v>334</v>
      </c>
      <c r="S18" s="94" t="s">
        <v>334</v>
      </c>
      <c r="T18" s="94" t="s">
        <v>334</v>
      </c>
      <c r="U18" s="94"/>
      <c r="V18" s="94">
        <v>12</v>
      </c>
    </row>
    <row r="19" spans="2:22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  <c r="N19" s="127"/>
      <c r="O19" s="127"/>
    </row>
    <row r="20" spans="2:22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  <c r="N20" s="127"/>
      <c r="O20" s="127"/>
    </row>
    <row r="21" spans="2:22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  <c r="N21" s="127"/>
      <c r="O21" s="127"/>
    </row>
    <row r="22" spans="2:22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71"/>
      <c r="N22" s="127"/>
      <c r="O22" s="127"/>
    </row>
    <row r="23" spans="2:22" ht="20.149999999999999" customHeight="1" x14ac:dyDescent="0.45">
      <c r="B23" s="70"/>
      <c r="C23" s="45"/>
      <c r="D23" s="430"/>
      <c r="E23" s="430"/>
      <c r="F23" s="430"/>
      <c r="G23" s="45"/>
      <c r="H23" s="65"/>
      <c r="I23" s="431"/>
      <c r="J23" s="431"/>
      <c r="K23" s="22"/>
      <c r="L23" s="71"/>
      <c r="N23" s="127"/>
      <c r="O23" s="127"/>
    </row>
    <row r="24" spans="2:22" ht="20.149999999999999" customHeight="1" x14ac:dyDescent="0.45">
      <c r="B24" s="70"/>
      <c r="C24" s="45"/>
      <c r="D24" s="430"/>
      <c r="E24" s="430"/>
      <c r="F24" s="430"/>
      <c r="G24" s="45"/>
      <c r="H24" s="65"/>
      <c r="I24" s="431"/>
      <c r="J24" s="431"/>
      <c r="K24" s="22"/>
      <c r="L24" s="71"/>
      <c r="N24" s="127"/>
      <c r="O24" s="127"/>
    </row>
    <row r="25" spans="2:22" ht="20.149999999999999" customHeight="1" x14ac:dyDescent="0.45">
      <c r="B25" s="70"/>
      <c r="C25" s="45"/>
      <c r="D25" s="430"/>
      <c r="E25" s="430"/>
      <c r="F25" s="430"/>
      <c r="G25" s="45"/>
      <c r="H25" s="65"/>
      <c r="I25" s="431"/>
      <c r="J25" s="431"/>
      <c r="K25" s="22"/>
      <c r="L25" s="71"/>
      <c r="N25" s="127"/>
      <c r="O25" s="127"/>
    </row>
    <row r="26" spans="2:22" ht="20.149999999999999" customHeight="1" x14ac:dyDescent="0.45">
      <c r="B26" s="70"/>
      <c r="C26" s="45"/>
      <c r="D26" s="430"/>
      <c r="E26" s="430"/>
      <c r="F26" s="430"/>
      <c r="G26" s="45"/>
      <c r="H26" s="65"/>
      <c r="I26" s="431"/>
      <c r="J26" s="431"/>
      <c r="K26" s="22"/>
      <c r="L26" s="71"/>
      <c r="N26" s="127"/>
      <c r="O26" s="127"/>
    </row>
    <row r="27" spans="2:22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  <c r="N27" s="127"/>
      <c r="O27" s="127"/>
    </row>
    <row r="28" spans="2:22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22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71"/>
    </row>
    <row r="30" spans="2:22" ht="20.149999999999999" customHeight="1" x14ac:dyDescent="0.45">
      <c r="B30" s="21"/>
      <c r="C30" s="45"/>
      <c r="D30" s="430"/>
      <c r="E30" s="430"/>
      <c r="F30" s="430"/>
      <c r="G30" s="45"/>
      <c r="H30" s="65"/>
      <c r="I30" s="431"/>
      <c r="J30" s="431"/>
      <c r="K30" s="22"/>
      <c r="L30" s="71"/>
    </row>
    <row r="31" spans="2:22" ht="20.149999999999999" customHeight="1" x14ac:dyDescent="0.45">
      <c r="B31" s="21"/>
      <c r="C31" s="45"/>
      <c r="D31" s="430"/>
      <c r="E31" s="430"/>
      <c r="F31" s="430"/>
      <c r="G31" s="45"/>
      <c r="H31" s="65"/>
      <c r="I31" s="431"/>
      <c r="J31" s="431"/>
      <c r="K31" s="22"/>
      <c r="L31" s="71"/>
    </row>
    <row r="32" spans="2:22" ht="20.149999999999999" customHeight="1" x14ac:dyDescent="0.45">
      <c r="B32" s="21"/>
      <c r="C32" s="45"/>
      <c r="D32" s="430"/>
      <c r="E32" s="430"/>
      <c r="F32" s="430"/>
      <c r="G32" s="45"/>
      <c r="H32" s="65"/>
      <c r="I32" s="431"/>
      <c r="J32" s="431"/>
      <c r="K32" s="22"/>
      <c r="L32" s="71"/>
    </row>
    <row r="33" spans="2:12" ht="20.149999999999999" customHeight="1" x14ac:dyDescent="0.45">
      <c r="B33" s="21"/>
      <c r="C33" s="45"/>
      <c r="D33" s="430"/>
      <c r="E33" s="430"/>
      <c r="F33" s="430"/>
      <c r="G33" s="45"/>
      <c r="H33" s="65"/>
      <c r="I33" s="431"/>
      <c r="J33" s="431"/>
      <c r="K33" s="22"/>
      <c r="L33" s="71"/>
    </row>
    <row r="34" spans="2:12" ht="20.149999999999999" customHeight="1" x14ac:dyDescent="0.45">
      <c r="B34" s="21"/>
      <c r="C34" s="45"/>
      <c r="D34" s="430"/>
      <c r="E34" s="430"/>
      <c r="F34" s="430"/>
      <c r="G34" s="45"/>
      <c r="H34" s="65"/>
      <c r="I34" s="431"/>
      <c r="J34" s="431"/>
      <c r="K34" s="22"/>
      <c r="L34" s="71"/>
    </row>
    <row r="35" spans="2:12" ht="20.149999999999999" customHeight="1" x14ac:dyDescent="0.45">
      <c r="B35" s="21"/>
      <c r="C35" s="45"/>
      <c r="D35" s="430"/>
      <c r="E35" s="430"/>
      <c r="F35" s="430"/>
      <c r="G35" s="45"/>
      <c r="H35" s="65"/>
      <c r="I35" s="431"/>
      <c r="J35" s="431"/>
      <c r="K35" s="22"/>
      <c r="L35" s="71"/>
    </row>
    <row r="36" spans="2:12" ht="20.149999999999999" customHeight="1" thickBot="1" x14ac:dyDescent="0.5">
      <c r="B36" s="24"/>
      <c r="C36" s="25"/>
      <c r="D36" s="473"/>
      <c r="E36" s="473"/>
      <c r="F36" s="473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474" t="s">
        <v>13</v>
      </c>
      <c r="K38" s="475"/>
      <c r="L38" s="30">
        <f>SUM(L18:L37)</f>
        <v>124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0" t="s">
        <v>553</v>
      </c>
      <c r="K39" s="113">
        <v>6.54E-2</v>
      </c>
      <c r="L39" s="32">
        <f>L38-L40</f>
        <v>8.1121495327102906</v>
      </c>
    </row>
    <row r="40" spans="2:12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476" t="s">
        <v>555</v>
      </c>
      <c r="K40" s="477"/>
      <c r="L40" s="114">
        <f>L38/107*100</f>
        <v>115.88785046728971</v>
      </c>
    </row>
    <row r="41" spans="2:12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1" t="s">
        <v>554</v>
      </c>
      <c r="K41" s="112">
        <v>7.0000000000000007E-2</v>
      </c>
      <c r="L41" s="44">
        <f>L40*K41</f>
        <v>8.1121495327102799</v>
      </c>
    </row>
    <row r="42" spans="2:12" ht="20.149999999999999" customHeight="1" thickBot="1" x14ac:dyDescent="0.5">
      <c r="B42" s="11" t="s">
        <v>748</v>
      </c>
      <c r="C42" s="10"/>
      <c r="D42" s="10"/>
      <c r="E42" s="10"/>
      <c r="F42" s="10"/>
      <c r="G42" s="10"/>
      <c r="H42" s="10"/>
      <c r="I42" s="10"/>
      <c r="J42" s="478" t="s">
        <v>21</v>
      </c>
      <c r="K42" s="479"/>
      <c r="L42" s="33">
        <f>L40+L41</f>
        <v>123.99999999999999</v>
      </c>
    </row>
    <row r="43" spans="2:12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83" t="s">
        <v>749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55">
    <mergeCell ref="J42:K42"/>
    <mergeCell ref="D34:F34"/>
    <mergeCell ref="I34:J34"/>
    <mergeCell ref="D35:F35"/>
    <mergeCell ref="I35:J35"/>
    <mergeCell ref="D36:F36"/>
    <mergeCell ref="J38:K38"/>
    <mergeCell ref="D32:F32"/>
    <mergeCell ref="I32:J32"/>
    <mergeCell ref="D33:F33"/>
    <mergeCell ref="I33:J33"/>
    <mergeCell ref="J40:K40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C5951-0AE6-4759-BA97-841978F0B976}">
  <sheetPr codeName="Sheet119">
    <tabColor rgb="FFFF0000"/>
    <pageSetUpPr fitToPage="1"/>
  </sheetPr>
  <dimension ref="B4:O44"/>
  <sheetViews>
    <sheetView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2.54296875" style="60" customWidth="1"/>
    <col min="9" max="9" width="2.54296875" style="60" customWidth="1"/>
    <col min="10" max="10" width="15.54296875" style="60" customWidth="1"/>
    <col min="11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/>
      <c r="J5" s="17" t="s">
        <v>26</v>
      </c>
      <c r="K5" s="455">
        <v>202002057</v>
      </c>
      <c r="L5" s="456"/>
    </row>
    <row r="6" spans="2:15" ht="20.149999999999999" customHeight="1" x14ac:dyDescent="0.45">
      <c r="B6" s="480"/>
      <c r="C6" s="481"/>
      <c r="D6" s="482"/>
      <c r="E6" s="61"/>
      <c r="F6" s="480" t="s">
        <v>589</v>
      </c>
      <c r="G6" s="481"/>
      <c r="H6" s="482"/>
      <c r="J6" s="18" t="s">
        <v>9</v>
      </c>
      <c r="K6" s="502">
        <v>43892</v>
      </c>
      <c r="L6" s="466"/>
    </row>
    <row r="7" spans="2:15" ht="20.149999999999999" customHeight="1" x14ac:dyDescent="0.45">
      <c r="B7" s="462"/>
      <c r="C7" s="463"/>
      <c r="D7" s="464"/>
      <c r="E7" s="61"/>
      <c r="F7" s="462"/>
      <c r="G7" s="463"/>
      <c r="H7" s="464"/>
      <c r="J7" s="18" t="s">
        <v>81</v>
      </c>
      <c r="K7" s="465" t="s">
        <v>312</v>
      </c>
      <c r="L7" s="466"/>
    </row>
    <row r="8" spans="2:15" ht="20.149999999999999" customHeight="1" x14ac:dyDescent="0.45">
      <c r="B8" s="462"/>
      <c r="C8" s="463"/>
      <c r="D8" s="464"/>
      <c r="E8" s="61"/>
      <c r="F8" s="462"/>
      <c r="G8" s="463"/>
      <c r="H8" s="464"/>
      <c r="J8" s="18" t="s">
        <v>10</v>
      </c>
      <c r="K8" s="465" t="s">
        <v>377</v>
      </c>
      <c r="L8" s="466"/>
    </row>
    <row r="9" spans="2:15" ht="20.149999999999999" customHeight="1" x14ac:dyDescent="0.45">
      <c r="B9" s="462"/>
      <c r="C9" s="463"/>
      <c r="D9" s="464"/>
      <c r="E9" s="61"/>
      <c r="F9" s="462"/>
      <c r="G9" s="463"/>
      <c r="H9" s="464"/>
      <c r="J9" s="18" t="s">
        <v>27</v>
      </c>
      <c r="K9" s="465" t="s">
        <v>14</v>
      </c>
      <c r="L9" s="466"/>
    </row>
    <row r="10" spans="2:15" ht="18" customHeight="1" thickBot="1" x14ac:dyDescent="0.5">
      <c r="B10" s="467"/>
      <c r="C10" s="468"/>
      <c r="D10" s="469"/>
      <c r="E10" s="14"/>
      <c r="F10" s="555"/>
      <c r="G10" s="556"/>
      <c r="H10" s="557"/>
      <c r="J10" s="19" t="s">
        <v>11</v>
      </c>
      <c r="K10" s="483"/>
      <c r="L10" s="484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70" t="s">
        <v>4</v>
      </c>
      <c r="E12" s="471"/>
      <c r="F12" s="472"/>
      <c r="G12" s="58" t="s">
        <v>335</v>
      </c>
      <c r="H12" s="42" t="s">
        <v>28</v>
      </c>
      <c r="I12" s="470" t="s">
        <v>57</v>
      </c>
      <c r="J12" s="472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271</v>
      </c>
      <c r="D13" s="496" t="e">
        <f>VLOOKUP(C13,'Sales Master'!B$3:D$316,2,0)</f>
        <v>#N/A</v>
      </c>
      <c r="E13" s="496"/>
      <c r="F13" s="496"/>
      <c r="G13" s="45">
        <v>1</v>
      </c>
      <c r="H13" s="65" t="e">
        <f>VLOOKUP(C13,'Sales Master'!B$3:F$936,5,0)</f>
        <v>#N/A</v>
      </c>
      <c r="I13" s="431" t="e">
        <f>VLOOKUP(C13,'Sales Master'!B$3:E$936,4,0)</f>
        <v>#N/A</v>
      </c>
      <c r="J13" s="431"/>
      <c r="K13" s="118" t="e">
        <f>VLOOKUP(C13,'Sales Master'!B$3:CZ$936,103,0)</f>
        <v>#N/A</v>
      </c>
      <c r="L13" s="71" t="e">
        <f>K13*G13</f>
        <v>#N/A</v>
      </c>
    </row>
    <row r="14" spans="2:15" ht="20.149999999999999" customHeight="1" x14ac:dyDescent="0.45">
      <c r="B14" s="21"/>
      <c r="C14" s="45" t="s">
        <v>282</v>
      </c>
      <c r="D14" s="496" t="e">
        <f>VLOOKUP(C14,'Sales Master'!B$3:D$316,2,0)</f>
        <v>#N/A</v>
      </c>
      <c r="E14" s="496"/>
      <c r="F14" s="496"/>
      <c r="G14" s="45">
        <v>1</v>
      </c>
      <c r="H14" s="65" t="e">
        <f>VLOOKUP(C14,'Sales Master'!B$3:F$936,5,0)</f>
        <v>#N/A</v>
      </c>
      <c r="I14" s="431" t="e">
        <f>VLOOKUP(C14,'Sales Master'!B$3:E$936,4,0)</f>
        <v>#N/A</v>
      </c>
      <c r="J14" s="431"/>
      <c r="K14" s="118" t="e">
        <f>VLOOKUP(C14,'Sales Master'!B$3:CZ$936,103,0)</f>
        <v>#N/A</v>
      </c>
      <c r="L14" s="71" t="e">
        <f>K14*G14</f>
        <v>#N/A</v>
      </c>
    </row>
    <row r="15" spans="2:15" ht="20.149999999999999" customHeight="1" x14ac:dyDescent="0.45">
      <c r="B15" s="21"/>
      <c r="C15" s="45" t="s">
        <v>283</v>
      </c>
      <c r="D15" s="496" t="e">
        <f>VLOOKUP(C15,'Sales Master'!B$3:D$316,2,0)</f>
        <v>#N/A</v>
      </c>
      <c r="E15" s="496"/>
      <c r="F15" s="496"/>
      <c r="G15" s="45">
        <v>1</v>
      </c>
      <c r="H15" s="65" t="e">
        <f>VLOOKUP(C15,'Sales Master'!B$3:F$936,5,0)</f>
        <v>#N/A</v>
      </c>
      <c r="I15" s="431" t="e">
        <f>VLOOKUP(C15,'Sales Master'!B$3:E$936,4,0)</f>
        <v>#N/A</v>
      </c>
      <c r="J15" s="431"/>
      <c r="K15" s="118" t="e">
        <f>VLOOKUP(C15,'Sales Master'!B$3:CZ$936,103,0)</f>
        <v>#N/A</v>
      </c>
      <c r="L15" s="71" t="e">
        <f>K15*G15</f>
        <v>#N/A</v>
      </c>
    </row>
    <row r="16" spans="2:15" ht="20.149999999999999" customHeight="1" x14ac:dyDescent="0.45">
      <c r="B16" s="21"/>
      <c r="C16" s="45" t="s">
        <v>284</v>
      </c>
      <c r="D16" s="496" t="e">
        <f>VLOOKUP(C16,'Sales Master'!B$3:D$316,2,0)</f>
        <v>#N/A</v>
      </c>
      <c r="E16" s="496"/>
      <c r="F16" s="496"/>
      <c r="G16" s="45">
        <v>1</v>
      </c>
      <c r="H16" s="65" t="e">
        <f>VLOOKUP(C16,'Sales Master'!B$3:F$936,5,0)</f>
        <v>#N/A</v>
      </c>
      <c r="I16" s="431" t="e">
        <f>VLOOKUP(C16,'Sales Master'!B$3:E$936,4,0)</f>
        <v>#N/A</v>
      </c>
      <c r="J16" s="431"/>
      <c r="K16" s="118" t="e">
        <f>VLOOKUP(C16,'Sales Master'!B$3:CZ$936,103,0)</f>
        <v>#N/A</v>
      </c>
      <c r="L16" s="71" t="e">
        <f>K16*G16</f>
        <v>#N/A</v>
      </c>
    </row>
    <row r="17" spans="2:12" ht="20.149999999999999" customHeight="1" x14ac:dyDescent="0.45">
      <c r="B17" s="70"/>
      <c r="C17" s="45"/>
      <c r="D17" s="130"/>
      <c r="E17" s="69"/>
      <c r="F17" s="69"/>
      <c r="G17" s="45"/>
      <c r="H17" s="65"/>
      <c r="I17" s="431"/>
      <c r="J17" s="431"/>
      <c r="K17" s="22"/>
      <c r="L17" s="71"/>
    </row>
    <row r="18" spans="2:12" ht="20.149999999999999" customHeight="1" x14ac:dyDescent="0.45">
      <c r="B18" s="70"/>
      <c r="C18" s="45"/>
      <c r="D18" s="430"/>
      <c r="E18" s="430"/>
      <c r="F18" s="430"/>
      <c r="G18" s="45"/>
      <c r="H18" s="65"/>
      <c r="I18" s="431"/>
      <c r="J18" s="431"/>
      <c r="K18" s="22"/>
      <c r="L18" s="71"/>
    </row>
    <row r="19" spans="2:12" ht="20.149999999999999" customHeight="1" x14ac:dyDescent="0.45">
      <c r="B19" s="70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2" ht="20.149999999999999" customHeight="1" x14ac:dyDescent="0.45">
      <c r="B20" s="70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2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2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2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2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2" ht="20.149999999999999" customHeight="1" x14ac:dyDescent="0.45">
      <c r="B25" s="21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2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2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2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2" ht="20.149999999999999" customHeight="1" x14ac:dyDescent="0.45">
      <c r="B29" s="21"/>
      <c r="C29" s="45"/>
      <c r="D29" s="503"/>
      <c r="E29" s="503"/>
      <c r="F29" s="503"/>
      <c r="G29" s="45"/>
      <c r="H29" s="65"/>
      <c r="I29" s="65"/>
      <c r="J29" s="65"/>
      <c r="K29" s="22"/>
      <c r="L29" s="23"/>
    </row>
    <row r="30" spans="2:12" ht="20.149999999999999" customHeight="1" thickBot="1" x14ac:dyDescent="0.5">
      <c r="B30" s="24"/>
      <c r="C30" s="25"/>
      <c r="D30" s="473"/>
      <c r="E30" s="473"/>
      <c r="F30" s="473"/>
      <c r="G30" s="25"/>
      <c r="H30" s="66"/>
      <c r="I30" s="66"/>
      <c r="J30" s="66"/>
      <c r="K30" s="26"/>
      <c r="L30" s="27"/>
    </row>
    <row r="31" spans="2:12" ht="20.149999999999999" customHeight="1" thickBot="1" x14ac:dyDescent="0.5">
      <c r="B31" s="28"/>
      <c r="L31" s="29"/>
    </row>
    <row r="32" spans="2:12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474" t="s">
        <v>13</v>
      </c>
      <c r="K32" s="475"/>
      <c r="L32" s="30" t="e">
        <f>SUM(L3:L31)</f>
        <v>#N/A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0" t="s">
        <v>553</v>
      </c>
      <c r="K33" s="113">
        <v>6.54E-2</v>
      </c>
      <c r="L33" s="32" t="e">
        <f>L32*K33</f>
        <v>#N/A</v>
      </c>
    </row>
    <row r="34" spans="2:12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476" t="s">
        <v>555</v>
      </c>
      <c r="K34" s="477"/>
      <c r="L34" s="114" t="e">
        <f>L32-L33</f>
        <v>#N/A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1" t="s">
        <v>554</v>
      </c>
      <c r="K35" s="112">
        <v>7.0000000000000007E-2</v>
      </c>
      <c r="L35" s="44" t="e">
        <f>L34*K35</f>
        <v>#N/A</v>
      </c>
    </row>
    <row r="36" spans="2:12" ht="20.149999999999999" customHeight="1" thickBot="1" x14ac:dyDescent="0.5">
      <c r="B36" s="11" t="s">
        <v>748</v>
      </c>
      <c r="C36" s="10"/>
      <c r="D36" s="10"/>
      <c r="E36" s="10"/>
      <c r="F36" s="10"/>
      <c r="G36" s="10"/>
      <c r="H36" s="10"/>
      <c r="I36" s="10"/>
      <c r="J36" s="478" t="s">
        <v>21</v>
      </c>
      <c r="K36" s="479"/>
      <c r="L36" s="33" t="e">
        <f>L34+L35</f>
        <v>#N/A</v>
      </c>
    </row>
    <row r="37" spans="2:12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83" t="s">
        <v>749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24</v>
      </c>
      <c r="J43" s="60" t="s">
        <v>25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54">
    <mergeCell ref="D16:F16"/>
    <mergeCell ref="B8:D8"/>
    <mergeCell ref="K8:L8"/>
    <mergeCell ref="B9:D9"/>
    <mergeCell ref="K9:L9"/>
    <mergeCell ref="B10:D10"/>
    <mergeCell ref="K10:L10"/>
    <mergeCell ref="F8:H8"/>
    <mergeCell ref="F9:H9"/>
    <mergeCell ref="F10:H10"/>
    <mergeCell ref="K5:L5"/>
    <mergeCell ref="B6:D6"/>
    <mergeCell ref="K6:L6"/>
    <mergeCell ref="B7:D7"/>
    <mergeCell ref="K7:L7"/>
    <mergeCell ref="F6:H6"/>
    <mergeCell ref="F7:H7"/>
    <mergeCell ref="I20:J20"/>
    <mergeCell ref="I15:J15"/>
    <mergeCell ref="I16:J16"/>
    <mergeCell ref="I17:J17"/>
    <mergeCell ref="D12:F12"/>
    <mergeCell ref="I12:J12"/>
    <mergeCell ref="I13:J13"/>
    <mergeCell ref="I14:J14"/>
    <mergeCell ref="D18:F18"/>
    <mergeCell ref="I18:J18"/>
    <mergeCell ref="D19:F19"/>
    <mergeCell ref="I19:J19"/>
    <mergeCell ref="D20:F20"/>
    <mergeCell ref="D13:F13"/>
    <mergeCell ref="D14:F14"/>
    <mergeCell ref="D15:F15"/>
    <mergeCell ref="J36:K36"/>
    <mergeCell ref="D26:F26"/>
    <mergeCell ref="I26:J26"/>
    <mergeCell ref="D27:F27"/>
    <mergeCell ref="I27:J27"/>
    <mergeCell ref="D28:F28"/>
    <mergeCell ref="I28:J28"/>
    <mergeCell ref="D29:F29"/>
    <mergeCell ref="D30:F30"/>
    <mergeCell ref="J32:K32"/>
    <mergeCell ref="J34:K34"/>
    <mergeCell ref="D24:F24"/>
    <mergeCell ref="I24:J24"/>
    <mergeCell ref="D25:F25"/>
    <mergeCell ref="I25:J25"/>
    <mergeCell ref="D21:F21"/>
    <mergeCell ref="I21:J21"/>
    <mergeCell ref="D22:F22"/>
    <mergeCell ref="I22:J22"/>
    <mergeCell ref="D23:F23"/>
    <mergeCell ref="I23:J23"/>
  </mergeCells>
  <pageMargins left="0.70866141732283505" right="0.31496062992126" top="2.1259842519685002" bottom="0" header="0.31496062992126" footer="0.31496062992126"/>
  <pageSetup paperSize="9" scale="74" fitToHeight="0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6AF22-F9B1-4005-91EF-F7E3282415D7}">
  <sheetPr codeName="Sheet120">
    <tabColor rgb="FFFF0000"/>
    <pageSetUpPr fitToPage="1"/>
  </sheetPr>
  <dimension ref="B4:O45"/>
  <sheetViews>
    <sheetView topLeftCell="A5" zoomScaleNormal="100" workbookViewId="0">
      <selection activeCell="B5" sqref="B5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2.54296875" style="60" customWidth="1"/>
    <col min="9" max="9" width="1.81640625" style="60" customWidth="1"/>
    <col min="10" max="10" width="15.54296875" style="60" customWidth="1"/>
    <col min="11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437</v>
      </c>
      <c r="J5" s="17" t="s">
        <v>26</v>
      </c>
      <c r="K5" s="455">
        <v>201909154</v>
      </c>
      <c r="L5" s="456"/>
    </row>
    <row r="6" spans="2:15" ht="20.149999999999999" customHeight="1" x14ac:dyDescent="0.45">
      <c r="B6" s="480"/>
      <c r="C6" s="481"/>
      <c r="D6" s="482"/>
      <c r="E6" s="61"/>
      <c r="F6" s="444">
        <f>VLOOKUP(H5,'Delivery Location'!A$4:N$423,2,0)</f>
        <v>0</v>
      </c>
      <c r="G6" s="445"/>
      <c r="H6" s="446"/>
      <c r="J6" s="18" t="s">
        <v>9</v>
      </c>
      <c r="K6" s="502">
        <v>43715</v>
      </c>
      <c r="L6" s="466"/>
    </row>
    <row r="7" spans="2:15" ht="20.149999999999999" customHeight="1" x14ac:dyDescent="0.45">
      <c r="B7" s="462"/>
      <c r="C7" s="463"/>
      <c r="D7" s="464"/>
      <c r="E7" s="61"/>
      <c r="F7" s="447"/>
      <c r="G7" s="448"/>
      <c r="H7" s="449"/>
      <c r="J7" s="18" t="s">
        <v>81</v>
      </c>
      <c r="K7" s="465" t="s">
        <v>312</v>
      </c>
      <c r="L7" s="466"/>
    </row>
    <row r="8" spans="2:15" ht="20.149999999999999" customHeight="1" x14ac:dyDescent="0.45">
      <c r="B8" s="462"/>
      <c r="C8" s="463"/>
      <c r="D8" s="464"/>
      <c r="E8" s="61"/>
      <c r="F8" s="447"/>
      <c r="G8" s="448"/>
      <c r="H8" s="449"/>
      <c r="J8" s="18" t="s">
        <v>10</v>
      </c>
      <c r="K8" s="465" t="s">
        <v>374</v>
      </c>
      <c r="L8" s="466"/>
    </row>
    <row r="9" spans="2:15" ht="20.149999999999999" customHeight="1" x14ac:dyDescent="0.45">
      <c r="B9" s="462"/>
      <c r="C9" s="463"/>
      <c r="D9" s="464"/>
      <c r="E9" s="61"/>
      <c r="F9" s="447"/>
      <c r="G9" s="448"/>
      <c r="H9" s="449"/>
      <c r="J9" s="18" t="s">
        <v>27</v>
      </c>
      <c r="K9" s="465" t="s">
        <v>14</v>
      </c>
      <c r="L9" s="466"/>
    </row>
    <row r="10" spans="2:15" ht="18" customHeight="1" thickBot="1" x14ac:dyDescent="0.5">
      <c r="B10" s="467"/>
      <c r="C10" s="468"/>
      <c r="D10" s="469"/>
      <c r="E10" s="14"/>
      <c r="F10" s="450"/>
      <c r="G10" s="451"/>
      <c r="H10" s="452"/>
      <c r="J10" s="19" t="s">
        <v>11</v>
      </c>
      <c r="K10" s="483"/>
      <c r="L10" s="484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70" t="s">
        <v>4</v>
      </c>
      <c r="E12" s="471"/>
      <c r="F12" s="472"/>
      <c r="G12" s="58" t="s">
        <v>335</v>
      </c>
      <c r="H12" s="42" t="s">
        <v>28</v>
      </c>
      <c r="I12" s="470" t="s">
        <v>57</v>
      </c>
      <c r="J12" s="472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257</v>
      </c>
      <c r="D13" s="430" t="e">
        <f>VLOOKUP(C13,'Sales Master'!B$3:D$316,2,0)</f>
        <v>#N/A</v>
      </c>
      <c r="E13" s="430"/>
      <c r="F13" s="430"/>
      <c r="G13" s="45">
        <v>2</v>
      </c>
      <c r="H13" s="65" t="e">
        <f>VLOOKUP(C13,'Sales Master'!B$3:F$936,5,0)</f>
        <v>#N/A</v>
      </c>
      <c r="I13" s="431" t="e">
        <f>VLOOKUP(C13,'Sales Master'!B$3:E$936,4,0)</f>
        <v>#N/A</v>
      </c>
      <c r="J13" s="431"/>
      <c r="K13" s="22" t="e">
        <f>VLOOKUP(C13,'Sales Master'!B$3:BD$527,55,0)</f>
        <v>#N/A</v>
      </c>
      <c r="L13" s="71" t="e">
        <f>K13*G13</f>
        <v>#N/A</v>
      </c>
    </row>
    <row r="14" spans="2:15" ht="20.149999999999999" customHeight="1" x14ac:dyDescent="0.45">
      <c r="B14" s="21"/>
      <c r="C14" s="45" t="s">
        <v>258</v>
      </c>
      <c r="D14" s="430" t="e">
        <f>VLOOKUP(C14,'Sales Master'!B$3:D$316,2,0)</f>
        <v>#N/A</v>
      </c>
      <c r="E14" s="430"/>
      <c r="F14" s="430"/>
      <c r="G14" s="45">
        <v>1</v>
      </c>
      <c r="H14" s="65" t="e">
        <f>VLOOKUP(C14,'Sales Master'!B$3:F$936,5,0)</f>
        <v>#N/A</v>
      </c>
      <c r="I14" s="431" t="e">
        <f>VLOOKUP(C14,'Sales Master'!B$3:E$936,4,0)</f>
        <v>#N/A</v>
      </c>
      <c r="J14" s="431"/>
      <c r="K14" s="22" t="e">
        <f>VLOOKUP(C14,'Sales Master'!B$3:BD$527,55,0)</f>
        <v>#N/A</v>
      </c>
      <c r="L14" s="71" t="e">
        <f>K14*G14</f>
        <v>#N/A</v>
      </c>
    </row>
    <row r="15" spans="2:15" ht="20.149999999999999" customHeight="1" x14ac:dyDescent="0.45">
      <c r="B15" s="21"/>
      <c r="C15" s="45" t="s">
        <v>262</v>
      </c>
      <c r="D15" s="430" t="e">
        <f>VLOOKUP(C15,'Sales Master'!B$3:D$316,2,0)</f>
        <v>#N/A</v>
      </c>
      <c r="E15" s="430"/>
      <c r="F15" s="430"/>
      <c r="G15" s="45">
        <v>6</v>
      </c>
      <c r="H15" s="65" t="e">
        <f>VLOOKUP(C15,'Sales Master'!B$3:F$936,5,0)</f>
        <v>#N/A</v>
      </c>
      <c r="I15" s="431" t="e">
        <f>VLOOKUP(C15,'Sales Master'!B$3:E$936,4,0)</f>
        <v>#N/A</v>
      </c>
      <c r="J15" s="431"/>
      <c r="K15" s="22" t="e">
        <f>VLOOKUP(C15,'Sales Master'!B$3:BD$527,55,0)</f>
        <v>#N/A</v>
      </c>
      <c r="L15" s="71" t="e">
        <f>K15*G15</f>
        <v>#N/A</v>
      </c>
    </row>
    <row r="16" spans="2:15" ht="20.149999999999999" customHeight="1" x14ac:dyDescent="0.45">
      <c r="B16" s="21"/>
      <c r="C16" s="45"/>
      <c r="D16" s="430"/>
      <c r="E16" s="430"/>
      <c r="F16" s="430"/>
      <c r="G16" s="45"/>
      <c r="H16" s="65"/>
      <c r="I16" s="431"/>
      <c r="J16" s="431"/>
      <c r="K16" s="22"/>
      <c r="L16" s="71"/>
    </row>
    <row r="17" spans="2:12" ht="20.149999999999999" customHeight="1" x14ac:dyDescent="0.45">
      <c r="B17" s="21"/>
      <c r="C17" s="45"/>
      <c r="D17" s="430"/>
      <c r="E17" s="430"/>
      <c r="F17" s="430"/>
      <c r="G17" s="45"/>
      <c r="H17" s="65"/>
      <c r="I17" s="431"/>
      <c r="J17" s="431"/>
      <c r="K17" s="22"/>
      <c r="L17" s="71"/>
    </row>
    <row r="18" spans="2:12" ht="20.149999999999999" customHeight="1" x14ac:dyDescent="0.45">
      <c r="B18" s="70"/>
      <c r="C18" s="45"/>
      <c r="D18" s="430"/>
      <c r="E18" s="430"/>
      <c r="F18" s="430"/>
      <c r="G18" s="45"/>
      <c r="H18" s="65"/>
      <c r="I18" s="431"/>
      <c r="J18" s="431"/>
      <c r="K18" s="22"/>
      <c r="L18" s="71"/>
    </row>
    <row r="19" spans="2:12" ht="20.149999999999999" customHeight="1" x14ac:dyDescent="0.45">
      <c r="B19" s="70"/>
      <c r="C19" s="45"/>
      <c r="D19" s="69"/>
      <c r="E19" s="69"/>
      <c r="F19" s="69"/>
      <c r="G19" s="45"/>
      <c r="H19" s="65"/>
      <c r="I19" s="431"/>
      <c r="J19" s="431"/>
      <c r="K19" s="22"/>
      <c r="L19" s="71"/>
    </row>
    <row r="20" spans="2:12" ht="20.149999999999999" customHeight="1" x14ac:dyDescent="0.45">
      <c r="B20" s="70"/>
      <c r="C20" s="45"/>
      <c r="D20" s="69"/>
      <c r="E20" s="69"/>
      <c r="F20" s="69"/>
      <c r="G20" s="45"/>
      <c r="H20" s="65"/>
      <c r="I20" s="431"/>
      <c r="J20" s="431"/>
      <c r="K20" s="22"/>
      <c r="L20" s="71"/>
    </row>
    <row r="21" spans="2:12" ht="20.149999999999999" customHeight="1" x14ac:dyDescent="0.45">
      <c r="B21" s="70"/>
      <c r="C21" s="45"/>
      <c r="D21" s="69"/>
      <c r="E21" s="69"/>
      <c r="F21" s="69"/>
      <c r="G21" s="45"/>
      <c r="H21" s="65"/>
      <c r="I21" s="431"/>
      <c r="J21" s="431"/>
      <c r="K21" s="22"/>
      <c r="L21" s="71"/>
    </row>
    <row r="22" spans="2:12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2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2" ht="20.149999999999999" customHeight="1" x14ac:dyDescent="0.45">
      <c r="B24" s="21"/>
      <c r="C24" s="45"/>
      <c r="D24" s="503"/>
      <c r="E24" s="503"/>
      <c r="F24" s="503"/>
      <c r="G24" s="45"/>
      <c r="H24" s="65"/>
      <c r="I24" s="431"/>
      <c r="J24" s="431"/>
      <c r="K24" s="22"/>
      <c r="L24" s="23"/>
    </row>
    <row r="25" spans="2:12" ht="20.149999999999999" customHeight="1" x14ac:dyDescent="0.45">
      <c r="B25" s="21"/>
      <c r="C25" s="45"/>
      <c r="D25" s="503"/>
      <c r="E25" s="503"/>
      <c r="F25" s="503"/>
      <c r="G25" s="45"/>
      <c r="H25" s="65"/>
      <c r="I25" s="431"/>
      <c r="J25" s="431"/>
      <c r="K25" s="22"/>
      <c r="L25" s="23"/>
    </row>
    <row r="26" spans="2:12" ht="20.149999999999999" customHeight="1" x14ac:dyDescent="0.45">
      <c r="B26" s="21"/>
      <c r="C26" s="45"/>
      <c r="D26" s="503"/>
      <c r="E26" s="503"/>
      <c r="F26" s="503"/>
      <c r="G26" s="45"/>
      <c r="H26" s="65"/>
      <c r="I26" s="431"/>
      <c r="J26" s="431"/>
      <c r="K26" s="22"/>
      <c r="L26" s="23"/>
    </row>
    <row r="27" spans="2:12" ht="20.149999999999999" customHeight="1" x14ac:dyDescent="0.45">
      <c r="B27" s="21"/>
      <c r="C27" s="45"/>
      <c r="D27" s="503"/>
      <c r="E27" s="503"/>
      <c r="F27" s="503"/>
      <c r="G27" s="45"/>
      <c r="H27" s="65"/>
      <c r="I27" s="65"/>
      <c r="J27" s="65"/>
      <c r="K27" s="22"/>
      <c r="L27" s="23"/>
    </row>
    <row r="28" spans="2:12" ht="20.149999999999999" customHeight="1" x14ac:dyDescent="0.45">
      <c r="B28" s="21"/>
      <c r="C28" s="45"/>
      <c r="D28" s="503"/>
      <c r="E28" s="503"/>
      <c r="F28" s="503"/>
      <c r="G28" s="45"/>
      <c r="H28" s="65"/>
      <c r="I28" s="65"/>
      <c r="J28" s="65"/>
      <c r="K28" s="22"/>
      <c r="L28" s="23"/>
    </row>
    <row r="29" spans="2:12" ht="20.149999999999999" customHeight="1" x14ac:dyDescent="0.45">
      <c r="B29" s="21"/>
      <c r="C29" s="45"/>
      <c r="D29" s="503"/>
      <c r="E29" s="503"/>
      <c r="F29" s="503"/>
      <c r="G29" s="45"/>
      <c r="H29" s="65"/>
      <c r="I29" s="65"/>
      <c r="J29" s="65"/>
      <c r="K29" s="22"/>
      <c r="L29" s="23"/>
    </row>
    <row r="30" spans="2:12" ht="20.149999999999999" customHeight="1" x14ac:dyDescent="0.45">
      <c r="B30" s="21"/>
      <c r="C30" s="45"/>
      <c r="D30" s="503"/>
      <c r="E30" s="503"/>
      <c r="F30" s="503"/>
      <c r="G30" s="45"/>
      <c r="H30" s="65"/>
      <c r="I30" s="65"/>
      <c r="J30" s="65"/>
      <c r="K30" s="22"/>
      <c r="L30" s="23"/>
    </row>
    <row r="31" spans="2:12" ht="20.149999999999999" customHeight="1" thickBot="1" x14ac:dyDescent="0.5">
      <c r="B31" s="24"/>
      <c r="C31" s="25"/>
      <c r="D31" s="473"/>
      <c r="E31" s="473"/>
      <c r="F31" s="473"/>
      <c r="G31" s="25"/>
      <c r="H31" s="66"/>
      <c r="I31" s="66"/>
      <c r="J31" s="66"/>
      <c r="K31" s="26"/>
      <c r="L31" s="27"/>
    </row>
    <row r="32" spans="2:12" ht="20.149999999999999" customHeight="1" thickBot="1" x14ac:dyDescent="0.5">
      <c r="B32" s="28"/>
      <c r="L32" s="29"/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30" t="e">
        <f>SUM(L11:L32)</f>
        <v>#N/A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32" t="e">
        <f>L36</f>
        <v>#N/A</v>
      </c>
    </row>
    <row r="35" spans="2:12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114" t="e">
        <f>L33/107*100</f>
        <v>#N/A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7.0000000000000007E-2</v>
      </c>
      <c r="L36" s="44" t="e">
        <f>L35*K36</f>
        <v>#N/A</v>
      </c>
    </row>
    <row r="37" spans="2:12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78" t="s">
        <v>21</v>
      </c>
      <c r="K37" s="479"/>
      <c r="L37" s="33" t="e">
        <f>L35+L36</f>
        <v>#N/A</v>
      </c>
    </row>
    <row r="38" spans="2:12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2" ht="20.149999999999999" customHeight="1" x14ac:dyDescent="0.45">
      <c r="B39" s="183" t="s">
        <v>749</v>
      </c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34"/>
      <c r="C43" s="35"/>
      <c r="D43" s="35"/>
      <c r="J43" s="35"/>
      <c r="K43" s="35"/>
      <c r="L43" s="36"/>
    </row>
    <row r="44" spans="2:12" ht="20.149999999999999" customHeight="1" x14ac:dyDescent="0.45">
      <c r="B44" s="28" t="s">
        <v>24</v>
      </c>
      <c r="J44" s="60" t="s">
        <v>25</v>
      </c>
      <c r="L44" s="29"/>
    </row>
    <row r="45" spans="2:12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7"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B10:D10"/>
    <mergeCell ref="K10:L10"/>
    <mergeCell ref="D12:F12"/>
    <mergeCell ref="I12:J12"/>
    <mergeCell ref="D13:F13"/>
    <mergeCell ref="I13:J13"/>
    <mergeCell ref="I20:J20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I19:J19"/>
    <mergeCell ref="D28:F28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J37:K37"/>
    <mergeCell ref="D29:F29"/>
    <mergeCell ref="D30:F30"/>
    <mergeCell ref="D31:F31"/>
    <mergeCell ref="J33:K33"/>
    <mergeCell ref="J35:K35"/>
  </mergeCells>
  <pageMargins left="0.70866141732283472" right="0.31496062992125984" top="2.1259842519685042" bottom="0" header="0.31496062992125984" footer="0.31496062992125984"/>
  <pageSetup paperSize="9" scale="75" fitToHeight="0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74948-CFD3-44DF-A5EF-59DD178A045A}">
  <sheetPr codeName="Sheet121">
    <tabColor rgb="FFFF0000"/>
    <pageSetUpPr fitToPage="1"/>
  </sheetPr>
  <dimension ref="B4:O44"/>
  <sheetViews>
    <sheetView topLeftCell="A5" zoomScaleNormal="100" workbookViewId="0">
      <selection activeCell="B5" sqref="B5: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449</v>
      </c>
      <c r="J5" s="17" t="s">
        <v>26</v>
      </c>
      <c r="K5" s="455">
        <v>201909084</v>
      </c>
      <c r="L5" s="456"/>
    </row>
    <row r="6" spans="2:15" ht="20.149999999999999" customHeight="1" x14ac:dyDescent="0.45">
      <c r="B6" s="480"/>
      <c r="C6" s="481"/>
      <c r="D6" s="482"/>
      <c r="E6" s="61"/>
      <c r="F6" s="444">
        <f>VLOOKUP(H5,'Delivery Location'!A$4:N$423,2,0)</f>
        <v>0</v>
      </c>
      <c r="G6" s="445"/>
      <c r="H6" s="446"/>
      <c r="J6" s="18" t="s">
        <v>9</v>
      </c>
      <c r="K6" s="502">
        <v>43713</v>
      </c>
      <c r="L6" s="466"/>
    </row>
    <row r="7" spans="2:15" ht="20.149999999999999" customHeight="1" x14ac:dyDescent="0.45">
      <c r="B7" s="462"/>
      <c r="C7" s="463"/>
      <c r="D7" s="464"/>
      <c r="E7" s="61"/>
      <c r="F7" s="447"/>
      <c r="G7" s="448"/>
      <c r="H7" s="449"/>
      <c r="J7" s="18" t="s">
        <v>81</v>
      </c>
      <c r="K7" s="465" t="s">
        <v>312</v>
      </c>
      <c r="L7" s="466"/>
    </row>
    <row r="8" spans="2:15" ht="20.149999999999999" customHeight="1" x14ac:dyDescent="0.45">
      <c r="B8" s="462"/>
      <c r="C8" s="463"/>
      <c r="D8" s="464"/>
      <c r="E8" s="61"/>
      <c r="F8" s="447"/>
      <c r="G8" s="448"/>
      <c r="H8" s="449"/>
      <c r="J8" s="18" t="s">
        <v>10</v>
      </c>
      <c r="K8" s="465" t="s">
        <v>12</v>
      </c>
      <c r="L8" s="466"/>
    </row>
    <row r="9" spans="2:15" ht="20.149999999999999" customHeight="1" x14ac:dyDescent="0.45">
      <c r="B9" s="462"/>
      <c r="C9" s="463"/>
      <c r="D9" s="464"/>
      <c r="E9" s="61"/>
      <c r="F9" s="447"/>
      <c r="G9" s="448"/>
      <c r="H9" s="449"/>
      <c r="J9" s="18" t="s">
        <v>27</v>
      </c>
      <c r="K9" s="465" t="s">
        <v>14</v>
      </c>
      <c r="L9" s="466"/>
    </row>
    <row r="10" spans="2:15" ht="18" customHeight="1" thickBot="1" x14ac:dyDescent="0.5">
      <c r="B10" s="467"/>
      <c r="C10" s="468"/>
      <c r="D10" s="469"/>
      <c r="E10" s="14"/>
      <c r="F10" s="450"/>
      <c r="G10" s="451"/>
      <c r="H10" s="452"/>
      <c r="J10" s="19" t="s">
        <v>11</v>
      </c>
      <c r="K10" s="483"/>
      <c r="L10" s="484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70" t="s">
        <v>4</v>
      </c>
      <c r="E12" s="471"/>
      <c r="F12" s="472"/>
      <c r="G12" s="58" t="s">
        <v>335</v>
      </c>
      <c r="H12" s="42" t="s">
        <v>28</v>
      </c>
      <c r="I12" s="470" t="s">
        <v>57</v>
      </c>
      <c r="J12" s="472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342</v>
      </c>
      <c r="D13" s="430" t="e">
        <f>VLOOKUP(C13,'Sales Master'!B$3:D$316,2,0)</f>
        <v>#N/A</v>
      </c>
      <c r="E13" s="430"/>
      <c r="F13" s="430"/>
      <c r="G13" s="45">
        <v>6</v>
      </c>
      <c r="H13" s="65" t="e">
        <f>VLOOKUP(C13,'Sales Master'!B$3:F$936,5,0)</f>
        <v>#N/A</v>
      </c>
      <c r="I13" s="431" t="e">
        <f>VLOOKUP(C13,'Sales Master'!B$3:E$936,4,0)</f>
        <v>#N/A</v>
      </c>
      <c r="J13" s="431"/>
      <c r="K13" s="22" t="e">
        <f>VLOOKUP(C13,'Sales Master'!B$3:K$527,10,0)</f>
        <v>#N/A</v>
      </c>
      <c r="L13" s="71" t="e">
        <f>K13*G13</f>
        <v>#N/A</v>
      </c>
    </row>
    <row r="14" spans="2:15" ht="20.149999999999999" customHeight="1" x14ac:dyDescent="0.45">
      <c r="B14" s="21"/>
      <c r="C14" s="45" t="s">
        <v>258</v>
      </c>
      <c r="D14" s="430" t="e">
        <f>VLOOKUP(C14,'Sales Master'!B$3:D$316,2,0)</f>
        <v>#N/A</v>
      </c>
      <c r="E14" s="430"/>
      <c r="F14" s="430"/>
      <c r="G14" s="45">
        <v>1</v>
      </c>
      <c r="H14" s="65" t="e">
        <f>VLOOKUP(C14,'Sales Master'!B$3:F$936,5,0)</f>
        <v>#N/A</v>
      </c>
      <c r="I14" s="431" t="e">
        <f>VLOOKUP(C14,'Sales Master'!B$3:E$936,4,0)</f>
        <v>#N/A</v>
      </c>
      <c r="J14" s="431"/>
      <c r="K14" s="22" t="e">
        <f>VLOOKUP(C14,'Sales Master'!B$3:K$527,10,0)</f>
        <v>#N/A</v>
      </c>
      <c r="L14" s="71" t="e">
        <f>K14*G14</f>
        <v>#N/A</v>
      </c>
    </row>
    <row r="15" spans="2:15" ht="20.149999999999999" customHeight="1" x14ac:dyDescent="0.45">
      <c r="B15" s="21"/>
      <c r="C15" s="45"/>
      <c r="D15" s="430"/>
      <c r="E15" s="430"/>
      <c r="F15" s="430"/>
      <c r="G15" s="45"/>
      <c r="H15" s="65" t="e">
        <f>VLOOKUP(C15,'Sales Master'!B$3:F$936,5,0)</f>
        <v>#N/A</v>
      </c>
      <c r="I15" s="431" t="e">
        <f>VLOOKUP(C15,'Sales Master'!B$3:E$936,4,0)</f>
        <v>#N/A</v>
      </c>
      <c r="J15" s="431"/>
      <c r="K15" s="22"/>
      <c r="L15" s="71"/>
    </row>
    <row r="16" spans="2:15" ht="20.149999999999999" customHeight="1" x14ac:dyDescent="0.45">
      <c r="B16" s="21"/>
      <c r="C16" s="45"/>
      <c r="D16" s="430"/>
      <c r="E16" s="430"/>
      <c r="F16" s="430"/>
      <c r="G16" s="45"/>
      <c r="H16" s="65"/>
      <c r="I16" s="431"/>
      <c r="J16" s="431"/>
      <c r="K16" s="22"/>
      <c r="L16" s="71"/>
    </row>
    <row r="17" spans="2:12" ht="20.149999999999999" customHeight="1" x14ac:dyDescent="0.45">
      <c r="B17" s="70"/>
      <c r="C17" s="45"/>
      <c r="D17" s="430"/>
      <c r="E17" s="430"/>
      <c r="F17" s="430"/>
      <c r="G17" s="45"/>
      <c r="H17" s="65"/>
      <c r="I17" s="431"/>
      <c r="J17" s="431"/>
      <c r="K17" s="22"/>
      <c r="L17" s="71"/>
    </row>
    <row r="18" spans="2:12" ht="20.149999999999999" customHeight="1" x14ac:dyDescent="0.45">
      <c r="B18" s="70"/>
      <c r="C18" s="45"/>
      <c r="D18" s="430"/>
      <c r="E18" s="430"/>
      <c r="F18" s="430"/>
      <c r="G18" s="45"/>
      <c r="H18" s="65"/>
      <c r="I18" s="431"/>
      <c r="J18" s="431"/>
      <c r="K18" s="22"/>
      <c r="L18" s="71"/>
    </row>
    <row r="19" spans="2:12" ht="20.149999999999999" customHeight="1" x14ac:dyDescent="0.45">
      <c r="B19" s="70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2" ht="20.149999999999999" customHeight="1" x14ac:dyDescent="0.45">
      <c r="B20" s="70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2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2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2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2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2" ht="20.149999999999999" customHeight="1" x14ac:dyDescent="0.45">
      <c r="B25" s="21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2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2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2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2" ht="20.149999999999999" customHeight="1" x14ac:dyDescent="0.45">
      <c r="B29" s="21"/>
      <c r="C29" s="45"/>
      <c r="D29" s="503"/>
      <c r="E29" s="503"/>
      <c r="F29" s="503"/>
      <c r="G29" s="45"/>
      <c r="H29" s="65"/>
      <c r="I29" s="65"/>
      <c r="J29" s="65"/>
      <c r="K29" s="22"/>
      <c r="L29" s="23"/>
    </row>
    <row r="30" spans="2:12" ht="20.149999999999999" customHeight="1" thickBot="1" x14ac:dyDescent="0.5">
      <c r="B30" s="24"/>
      <c r="C30" s="25"/>
      <c r="D30" s="473"/>
      <c r="E30" s="473"/>
      <c r="F30" s="473"/>
      <c r="G30" s="25"/>
      <c r="H30" s="66"/>
      <c r="I30" s="66"/>
      <c r="J30" s="66"/>
      <c r="K30" s="26"/>
      <c r="L30" s="27"/>
    </row>
    <row r="31" spans="2:12" ht="20.149999999999999" customHeight="1" thickBot="1" x14ac:dyDescent="0.5">
      <c r="B31" s="28"/>
      <c r="L31" s="29"/>
    </row>
    <row r="32" spans="2:12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474" t="s">
        <v>13</v>
      </c>
      <c r="K32" s="475"/>
      <c r="L32" s="30" t="e">
        <f>SUM(L10:L31)</f>
        <v>#N/A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0" t="s">
        <v>553</v>
      </c>
      <c r="K33" s="113">
        <v>6.54E-2</v>
      </c>
      <c r="L33" s="32" t="e">
        <f>L35</f>
        <v>#N/A</v>
      </c>
    </row>
    <row r="34" spans="2:12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476" t="s">
        <v>555</v>
      </c>
      <c r="K34" s="477"/>
      <c r="L34" s="114" t="e">
        <f>L32/107*100</f>
        <v>#N/A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1" t="s">
        <v>554</v>
      </c>
      <c r="K35" s="112">
        <v>7.0000000000000007E-2</v>
      </c>
      <c r="L35" s="44" t="e">
        <f>L34*K35</f>
        <v>#N/A</v>
      </c>
    </row>
    <row r="36" spans="2:12" ht="20.149999999999999" customHeight="1" thickBot="1" x14ac:dyDescent="0.5">
      <c r="B36" s="11" t="s">
        <v>748</v>
      </c>
      <c r="C36" s="10"/>
      <c r="D36" s="10"/>
      <c r="E36" s="10"/>
      <c r="F36" s="10"/>
      <c r="G36" s="10"/>
      <c r="H36" s="10"/>
      <c r="I36" s="10"/>
      <c r="J36" s="478" t="s">
        <v>21</v>
      </c>
      <c r="K36" s="479"/>
      <c r="L36" s="33" t="e">
        <f>L34+L35</f>
        <v>#N/A</v>
      </c>
    </row>
    <row r="37" spans="2:12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83" t="s">
        <v>749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24</v>
      </c>
      <c r="J43" s="60" t="s">
        <v>25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51"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B10:D10"/>
    <mergeCell ref="K10:L10"/>
    <mergeCell ref="D12:F12"/>
    <mergeCell ref="I12:J12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6:K36"/>
    <mergeCell ref="D26:F26"/>
    <mergeCell ref="I26:J26"/>
    <mergeCell ref="D27:F27"/>
    <mergeCell ref="I27:J27"/>
    <mergeCell ref="D28:F28"/>
    <mergeCell ref="I28:J28"/>
    <mergeCell ref="D29:F29"/>
    <mergeCell ref="D30:F30"/>
    <mergeCell ref="J32:K32"/>
    <mergeCell ref="J34:K34"/>
  </mergeCells>
  <pageMargins left="0.70866141732283472" right="0.31496062992125984" top="2.1259842519685042" bottom="0" header="0.31496062992125984" footer="0.31496062992125984"/>
  <pageSetup paperSize="9" scale="74" fitToHeight="0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A19DC-C98E-4707-91B6-F0B7407476ED}">
  <sheetPr codeName="Sheet123">
    <tabColor rgb="FFFFC000"/>
    <pageSetUpPr fitToPage="1"/>
  </sheetPr>
  <dimension ref="B4:O44"/>
  <sheetViews>
    <sheetView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475</v>
      </c>
      <c r="J5" s="17" t="s">
        <v>26</v>
      </c>
      <c r="K5" s="455">
        <v>201909250</v>
      </c>
      <c r="L5" s="456"/>
    </row>
    <row r="6" spans="2:15" ht="20.149999999999999" customHeight="1" x14ac:dyDescent="0.45">
      <c r="B6" s="480"/>
      <c r="C6" s="481"/>
      <c r="D6" s="482"/>
      <c r="E6" s="61"/>
      <c r="F6" s="444">
        <f>VLOOKUP(H5,'Delivery Location'!A$4:N$423,2,0)</f>
        <v>0</v>
      </c>
      <c r="G6" s="445"/>
      <c r="H6" s="446"/>
      <c r="J6" s="18" t="s">
        <v>9</v>
      </c>
      <c r="K6" s="502">
        <v>43720</v>
      </c>
      <c r="L6" s="466"/>
    </row>
    <row r="7" spans="2:15" ht="20.149999999999999" customHeight="1" x14ac:dyDescent="0.45">
      <c r="B7" s="462"/>
      <c r="C7" s="463"/>
      <c r="D7" s="464"/>
      <c r="E7" s="61"/>
      <c r="F7" s="447"/>
      <c r="G7" s="448"/>
      <c r="H7" s="449"/>
      <c r="J7" s="18" t="s">
        <v>81</v>
      </c>
      <c r="K7" s="465" t="s">
        <v>312</v>
      </c>
      <c r="L7" s="466"/>
    </row>
    <row r="8" spans="2:15" ht="20.149999999999999" customHeight="1" x14ac:dyDescent="0.45">
      <c r="B8" s="462"/>
      <c r="C8" s="463"/>
      <c r="D8" s="464"/>
      <c r="E8" s="61"/>
      <c r="F8" s="447"/>
      <c r="G8" s="448"/>
      <c r="H8" s="449"/>
      <c r="J8" s="18" t="s">
        <v>10</v>
      </c>
      <c r="K8" s="465" t="s">
        <v>83</v>
      </c>
      <c r="L8" s="466"/>
    </row>
    <row r="9" spans="2:15" ht="20.149999999999999" customHeight="1" x14ac:dyDescent="0.45">
      <c r="B9" s="462"/>
      <c r="C9" s="463"/>
      <c r="D9" s="464"/>
      <c r="E9" s="61"/>
      <c r="F9" s="447"/>
      <c r="G9" s="448"/>
      <c r="H9" s="449"/>
      <c r="J9" s="18" t="s">
        <v>27</v>
      </c>
      <c r="K9" s="465" t="s">
        <v>14</v>
      </c>
      <c r="L9" s="466"/>
    </row>
    <row r="10" spans="2:15" ht="18" customHeight="1" thickBot="1" x14ac:dyDescent="0.5">
      <c r="B10" s="467"/>
      <c r="C10" s="468"/>
      <c r="D10" s="469"/>
      <c r="E10" s="14"/>
      <c r="F10" s="450"/>
      <c r="G10" s="451"/>
      <c r="H10" s="452"/>
      <c r="J10" s="19" t="s">
        <v>11</v>
      </c>
      <c r="K10" s="483"/>
      <c r="L10" s="484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70" t="s">
        <v>4</v>
      </c>
      <c r="E12" s="471"/>
      <c r="F12" s="472"/>
      <c r="G12" s="58" t="s">
        <v>335</v>
      </c>
      <c r="H12" s="42" t="s">
        <v>28</v>
      </c>
      <c r="I12" s="470" t="s">
        <v>57</v>
      </c>
      <c r="J12" s="472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264</v>
      </c>
      <c r="D13" s="430" t="e">
        <f>VLOOKUP(C13,'Sales Master'!B$3:D$316,2,0)</f>
        <v>#N/A</v>
      </c>
      <c r="E13" s="430"/>
      <c r="F13" s="430"/>
      <c r="G13" s="45">
        <v>4</v>
      </c>
      <c r="H13" s="65" t="e">
        <f>VLOOKUP(C13,'Sales Master'!B$3:F$936,5,0)</f>
        <v>#N/A</v>
      </c>
      <c r="I13" s="431" t="e">
        <f>VLOOKUP(C13,'Sales Master'!B$3:E$936,4,0)</f>
        <v>#N/A</v>
      </c>
      <c r="J13" s="431"/>
      <c r="K13" s="22" t="e">
        <f>VLOOKUP(C13,'Sales Master'!B$3:BW$527,74,0)</f>
        <v>#N/A</v>
      </c>
      <c r="L13" s="71" t="e">
        <f>K13*G13</f>
        <v>#N/A</v>
      </c>
    </row>
    <row r="14" spans="2:15" ht="20.149999999999999" customHeight="1" x14ac:dyDescent="0.45">
      <c r="B14" s="21"/>
      <c r="C14" s="45" t="s">
        <v>286</v>
      </c>
      <c r="D14" s="430" t="e">
        <f>VLOOKUP(C14,'Sales Master'!B$3:D$316,2,0)</f>
        <v>#N/A</v>
      </c>
      <c r="E14" s="430"/>
      <c r="F14" s="430"/>
      <c r="G14" s="45">
        <v>3</v>
      </c>
      <c r="H14" s="65" t="e">
        <f>VLOOKUP(C14,'Sales Master'!B$3:F$936,5,0)</f>
        <v>#N/A</v>
      </c>
      <c r="I14" s="431" t="e">
        <f>VLOOKUP(C14,'Sales Master'!B$3:E$936,4,0)</f>
        <v>#N/A</v>
      </c>
      <c r="J14" s="431"/>
      <c r="K14" s="22" t="e">
        <f>VLOOKUP(C14,'Sales Master'!B$3:BW$527,74,0)</f>
        <v>#N/A</v>
      </c>
      <c r="L14" s="71" t="e">
        <f>K14*G14</f>
        <v>#N/A</v>
      </c>
    </row>
    <row r="15" spans="2:15" ht="20.149999999999999" customHeight="1" x14ac:dyDescent="0.45">
      <c r="B15" s="21"/>
      <c r="C15" s="45" t="s">
        <v>292</v>
      </c>
      <c r="D15" s="430" t="e">
        <f>VLOOKUP(C15,'Sales Master'!B$3:D$316,2,0)</f>
        <v>#N/A</v>
      </c>
      <c r="E15" s="430"/>
      <c r="F15" s="430"/>
      <c r="G15" s="45">
        <v>12</v>
      </c>
      <c r="H15" s="65" t="e">
        <f>VLOOKUP(C15,'Sales Master'!B$3:F$936,5,0)</f>
        <v>#N/A</v>
      </c>
      <c r="I15" s="431" t="e">
        <f>VLOOKUP(C15,'Sales Master'!B$3:E$936,4,0)</f>
        <v>#N/A</v>
      </c>
      <c r="J15" s="431"/>
      <c r="K15" s="22" t="e">
        <f>VLOOKUP(C15,'Sales Master'!B$3:BW$527,74,0)</f>
        <v>#N/A</v>
      </c>
      <c r="L15" s="71" t="e">
        <f>K15*G15</f>
        <v>#N/A</v>
      </c>
    </row>
    <row r="16" spans="2:15" ht="20.149999999999999" customHeight="1" x14ac:dyDescent="0.45">
      <c r="B16" s="21"/>
      <c r="C16" s="45"/>
      <c r="D16" s="430"/>
      <c r="E16" s="430"/>
      <c r="F16" s="430"/>
      <c r="G16" s="45"/>
      <c r="H16" s="65"/>
      <c r="I16" s="431"/>
      <c r="J16" s="431"/>
      <c r="K16" s="22"/>
      <c r="L16" s="71"/>
    </row>
    <row r="17" spans="2:12" ht="20.149999999999999" customHeight="1" x14ac:dyDescent="0.45">
      <c r="B17" s="70"/>
      <c r="C17" s="45"/>
      <c r="D17" s="430"/>
      <c r="E17" s="430"/>
      <c r="F17" s="430"/>
      <c r="G17" s="45"/>
      <c r="H17" s="65"/>
      <c r="I17" s="431"/>
      <c r="J17" s="431"/>
      <c r="K17" s="22"/>
      <c r="L17" s="71"/>
    </row>
    <row r="18" spans="2:12" ht="20.149999999999999" customHeight="1" x14ac:dyDescent="0.45">
      <c r="B18" s="70"/>
      <c r="C18" s="45"/>
      <c r="D18" s="430"/>
      <c r="E18" s="430"/>
      <c r="F18" s="430"/>
      <c r="G18" s="45"/>
      <c r="H18" s="65"/>
      <c r="I18" s="431"/>
      <c r="J18" s="431"/>
      <c r="K18" s="22"/>
      <c r="L18" s="71"/>
    </row>
    <row r="19" spans="2:12" ht="20.149999999999999" customHeight="1" x14ac:dyDescent="0.45">
      <c r="B19" s="70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2" ht="20.149999999999999" customHeight="1" x14ac:dyDescent="0.45">
      <c r="B20" s="70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2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2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2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2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2" ht="20.149999999999999" customHeight="1" x14ac:dyDescent="0.45">
      <c r="B25" s="21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2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2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2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2" ht="20.149999999999999" customHeight="1" x14ac:dyDescent="0.45">
      <c r="B29" s="21"/>
      <c r="C29" s="45"/>
      <c r="D29" s="503"/>
      <c r="E29" s="503"/>
      <c r="F29" s="503"/>
      <c r="G29" s="45"/>
      <c r="H29" s="65"/>
      <c r="I29" s="65"/>
      <c r="J29" s="65"/>
      <c r="K29" s="22"/>
      <c r="L29" s="23"/>
    </row>
    <row r="30" spans="2:12" ht="20.149999999999999" customHeight="1" thickBot="1" x14ac:dyDescent="0.5">
      <c r="B30" s="24"/>
      <c r="C30" s="25"/>
      <c r="D30" s="473"/>
      <c r="E30" s="473"/>
      <c r="F30" s="473"/>
      <c r="G30" s="25"/>
      <c r="H30" s="66"/>
      <c r="I30" s="66"/>
      <c r="J30" s="66"/>
      <c r="K30" s="26"/>
      <c r="L30" s="27"/>
    </row>
    <row r="31" spans="2:12" ht="20.149999999999999" customHeight="1" thickBot="1" x14ac:dyDescent="0.5">
      <c r="B31" s="28"/>
      <c r="L31" s="29"/>
    </row>
    <row r="32" spans="2:12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474" t="s">
        <v>13</v>
      </c>
      <c r="K32" s="475"/>
      <c r="L32" s="30" t="e">
        <f>SUM(L10:L31)</f>
        <v>#N/A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0" t="s">
        <v>553</v>
      </c>
      <c r="K33" s="113">
        <v>6.54E-2</v>
      </c>
      <c r="L33" s="32" t="e">
        <f>L35</f>
        <v>#N/A</v>
      </c>
    </row>
    <row r="34" spans="2:12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476" t="s">
        <v>555</v>
      </c>
      <c r="K34" s="477"/>
      <c r="L34" s="114" t="e">
        <f>L32/107*100</f>
        <v>#N/A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1" t="s">
        <v>554</v>
      </c>
      <c r="K35" s="112">
        <v>7.0000000000000007E-2</v>
      </c>
      <c r="L35" s="44" t="e">
        <f>L34*K35</f>
        <v>#N/A</v>
      </c>
    </row>
    <row r="36" spans="2:12" ht="20.149999999999999" customHeight="1" thickBot="1" x14ac:dyDescent="0.5">
      <c r="B36" s="11" t="s">
        <v>748</v>
      </c>
      <c r="C36" s="10"/>
      <c r="D36" s="10"/>
      <c r="E36" s="10"/>
      <c r="F36" s="10"/>
      <c r="G36" s="10"/>
      <c r="H36" s="10"/>
      <c r="I36" s="10"/>
      <c r="J36" s="478" t="s">
        <v>21</v>
      </c>
      <c r="K36" s="479"/>
      <c r="L36" s="33" t="e">
        <f>L34+L35</f>
        <v>#N/A</v>
      </c>
    </row>
    <row r="37" spans="2:12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83" t="s">
        <v>749</v>
      </c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24</v>
      </c>
      <c r="J43" s="60" t="s">
        <v>25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51"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B10:D10"/>
    <mergeCell ref="K10:L10"/>
    <mergeCell ref="D12:F12"/>
    <mergeCell ref="I12:J12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6:K36"/>
    <mergeCell ref="D26:F26"/>
    <mergeCell ref="I26:J26"/>
    <mergeCell ref="D27:F27"/>
    <mergeCell ref="I27:J27"/>
    <mergeCell ref="D28:F28"/>
    <mergeCell ref="I28:J28"/>
    <mergeCell ref="D29:F29"/>
    <mergeCell ref="D30:F30"/>
    <mergeCell ref="J32:K32"/>
    <mergeCell ref="J34:K34"/>
  </mergeCells>
  <pageMargins left="0.70866141732283472" right="0.31496062992125984" top="2.1259842519685042" bottom="0" header="0.31496062992125984" footer="0.31496062992125984"/>
  <pageSetup paperSize="9" scale="74" fitToHeight="0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B3867A-43FC-45B3-AE84-F2A9B825AE2B}">
  <sheetPr codeName="Sheet124">
    <tabColor rgb="FFFFFF00"/>
    <pageSetUpPr fitToPage="1"/>
  </sheetPr>
  <dimension ref="B4:O46"/>
  <sheetViews>
    <sheetView topLeftCell="A2" workbookViewId="0">
      <selection activeCell="B7" sqref="B7:D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21" customHeight="1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479</v>
      </c>
      <c r="J5" s="17" t="s">
        <v>26</v>
      </c>
      <c r="K5" s="455">
        <v>202002238</v>
      </c>
      <c r="L5" s="456"/>
    </row>
    <row r="6" spans="2:15" ht="20.149999999999999" customHeight="1" x14ac:dyDescent="0.45">
      <c r="B6" s="560" t="s">
        <v>577</v>
      </c>
      <c r="C6" s="481"/>
      <c r="D6" s="482"/>
      <c r="E6" s="61"/>
      <c r="F6" s="444" t="str">
        <f>VLOOKUP(H5,'Delivery Location'!A$4:N$423,2,0)</f>
        <v>Good New F&amp;B                                        60, Barker Road. Singapore 309919</v>
      </c>
      <c r="G6" s="445"/>
      <c r="H6" s="446"/>
      <c r="J6" s="18" t="s">
        <v>9</v>
      </c>
      <c r="K6" s="502" t="s">
        <v>590</v>
      </c>
      <c r="L6" s="466"/>
    </row>
    <row r="7" spans="2:15" ht="20.149999999999999" customHeight="1" x14ac:dyDescent="0.45">
      <c r="B7" s="462"/>
      <c r="C7" s="463"/>
      <c r="D7" s="464"/>
      <c r="E7" s="61"/>
      <c r="F7" s="447"/>
      <c r="G7" s="448"/>
      <c r="H7" s="449"/>
      <c r="J7" s="18" t="s">
        <v>81</v>
      </c>
      <c r="K7" s="465" t="s">
        <v>312</v>
      </c>
      <c r="L7" s="466"/>
    </row>
    <row r="8" spans="2:15" ht="20.149999999999999" customHeight="1" x14ac:dyDescent="0.45">
      <c r="B8" s="462"/>
      <c r="C8" s="463"/>
      <c r="D8" s="464"/>
      <c r="E8" s="61"/>
      <c r="F8" s="447"/>
      <c r="G8" s="448"/>
      <c r="H8" s="449"/>
      <c r="J8" s="18" t="s">
        <v>10</v>
      </c>
      <c r="K8" s="465" t="s">
        <v>83</v>
      </c>
      <c r="L8" s="466"/>
    </row>
    <row r="9" spans="2:15" ht="20.149999999999999" customHeight="1" x14ac:dyDescent="0.45">
      <c r="B9" s="462"/>
      <c r="C9" s="463"/>
      <c r="D9" s="464"/>
      <c r="E9" s="61"/>
      <c r="F9" s="447"/>
      <c r="G9" s="448"/>
      <c r="H9" s="449"/>
      <c r="J9" s="18" t="s">
        <v>27</v>
      </c>
      <c r="K9" s="465" t="s">
        <v>14</v>
      </c>
      <c r="L9" s="466"/>
    </row>
    <row r="10" spans="2:15" ht="18" customHeight="1" thickBot="1" x14ac:dyDescent="0.5">
      <c r="B10" s="63"/>
      <c r="C10" s="64"/>
      <c r="D10" s="59"/>
      <c r="E10" s="14"/>
      <c r="F10" s="450"/>
      <c r="G10" s="451"/>
      <c r="H10" s="452"/>
      <c r="J10" s="19" t="s">
        <v>11</v>
      </c>
      <c r="K10" s="483"/>
      <c r="L10" s="484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70" t="s">
        <v>4</v>
      </c>
      <c r="E12" s="471"/>
      <c r="F12" s="472"/>
      <c r="G12" s="58" t="s">
        <v>335</v>
      </c>
      <c r="H12" s="42" t="s">
        <v>28</v>
      </c>
      <c r="I12" s="470" t="s">
        <v>57</v>
      </c>
      <c r="J12" s="472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346</v>
      </c>
      <c r="D13" s="430" t="e">
        <f>VLOOKUP(C13,'Sales Master'!B$3:D$316,2,0)</f>
        <v>#N/A</v>
      </c>
      <c r="E13" s="430"/>
      <c r="F13" s="430"/>
      <c r="G13" s="45">
        <v>5</v>
      </c>
      <c r="H13" s="65" t="e">
        <f>VLOOKUP(C13,'Sales Master'!B$3:F$936,5,0)</f>
        <v>#N/A</v>
      </c>
      <c r="I13" s="431" t="e">
        <f>VLOOKUP(C13,'Sales Master'!B$3:E$936,4,0)</f>
        <v>#N/A</v>
      </c>
      <c r="J13" s="431"/>
      <c r="K13" s="22" t="e">
        <f>VLOOKUP(C13,'Sales Master'!B$3:CM$536,90,0)</f>
        <v>#N/A</v>
      </c>
      <c r="L13" s="23" t="e">
        <f>K13*G13</f>
        <v>#N/A</v>
      </c>
    </row>
    <row r="14" spans="2:15" ht="20.149999999999999" customHeight="1" x14ac:dyDescent="0.45">
      <c r="B14" s="21"/>
      <c r="C14" s="45"/>
      <c r="D14" s="430"/>
      <c r="E14" s="430"/>
      <c r="F14" s="430"/>
      <c r="G14" s="45"/>
      <c r="H14" s="65"/>
      <c r="I14" s="431"/>
      <c r="J14" s="431"/>
      <c r="K14" s="22"/>
      <c r="L14" s="23"/>
    </row>
    <row r="15" spans="2:15" ht="20.149999999999999" customHeight="1" x14ac:dyDescent="0.45">
      <c r="B15" s="21"/>
      <c r="C15" s="45"/>
      <c r="D15" s="430"/>
      <c r="E15" s="430"/>
      <c r="F15" s="430"/>
      <c r="G15" s="45"/>
      <c r="H15" s="65"/>
      <c r="I15" s="431"/>
      <c r="J15" s="431"/>
      <c r="K15" s="22"/>
      <c r="L15" s="23"/>
    </row>
    <row r="16" spans="2:15" ht="20.149999999999999" customHeight="1" x14ac:dyDescent="0.45">
      <c r="B16" s="21"/>
      <c r="C16" s="45"/>
      <c r="D16" s="430"/>
      <c r="E16" s="430"/>
      <c r="F16" s="430"/>
      <c r="G16" s="45"/>
      <c r="H16" s="65"/>
      <c r="I16" s="431"/>
      <c r="J16" s="431"/>
      <c r="K16" s="22"/>
      <c r="L16" s="23"/>
    </row>
    <row r="17" spans="2:12" ht="20.149999999999999" customHeight="1" x14ac:dyDescent="0.45">
      <c r="B17" s="21"/>
      <c r="C17" s="45"/>
      <c r="D17" s="430"/>
      <c r="E17" s="430"/>
      <c r="F17" s="430"/>
      <c r="G17" s="45"/>
      <c r="H17" s="65"/>
      <c r="I17" s="431"/>
      <c r="J17" s="431"/>
      <c r="K17" s="22"/>
      <c r="L17" s="23"/>
    </row>
    <row r="18" spans="2:12" ht="20.149999999999999" customHeight="1" x14ac:dyDescent="0.45">
      <c r="B18" s="21"/>
      <c r="C18" s="45"/>
      <c r="D18" s="430"/>
      <c r="E18" s="430"/>
      <c r="F18" s="430"/>
      <c r="G18" s="45"/>
      <c r="H18" s="65"/>
      <c r="I18" s="431"/>
      <c r="J18" s="431"/>
      <c r="K18" s="22"/>
      <c r="L18" s="23"/>
    </row>
    <row r="19" spans="2:12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23"/>
    </row>
    <row r="20" spans="2:12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23"/>
    </row>
    <row r="21" spans="2:12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23"/>
    </row>
    <row r="22" spans="2:12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23"/>
    </row>
    <row r="23" spans="2:12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23"/>
    </row>
    <row r="24" spans="2:12" ht="20.149999999999999" customHeight="1" x14ac:dyDescent="0.45">
      <c r="B24" s="21"/>
      <c r="C24" s="45"/>
      <c r="D24" s="503"/>
      <c r="E24" s="503"/>
      <c r="F24" s="503"/>
      <c r="G24" s="45"/>
      <c r="H24" s="65"/>
      <c r="I24" s="431"/>
      <c r="J24" s="431"/>
      <c r="K24" s="22"/>
      <c r="L24" s="23"/>
    </row>
    <row r="25" spans="2:12" ht="20.149999999999999" customHeight="1" x14ac:dyDescent="0.45">
      <c r="B25" s="21"/>
      <c r="C25" s="45"/>
      <c r="D25" s="503"/>
      <c r="E25" s="503"/>
      <c r="F25" s="503"/>
      <c r="G25" s="45"/>
      <c r="H25" s="65"/>
      <c r="I25" s="431"/>
      <c r="J25" s="431"/>
      <c r="K25" s="22"/>
      <c r="L25" s="23"/>
    </row>
    <row r="26" spans="2:12" ht="20.149999999999999" customHeight="1" x14ac:dyDescent="0.45">
      <c r="B26" s="21"/>
      <c r="C26" s="45"/>
      <c r="D26" s="503"/>
      <c r="E26" s="503"/>
      <c r="F26" s="503"/>
      <c r="G26" s="45"/>
      <c r="H26" s="65"/>
      <c r="I26" s="431"/>
      <c r="J26" s="431"/>
      <c r="K26" s="22"/>
      <c r="L26" s="23"/>
    </row>
    <row r="27" spans="2:12" ht="20.149999999999999" customHeight="1" x14ac:dyDescent="0.45">
      <c r="B27" s="21"/>
      <c r="C27" s="45"/>
      <c r="D27" s="503"/>
      <c r="E27" s="503"/>
      <c r="F27" s="503"/>
      <c r="G27" s="45"/>
      <c r="H27" s="65"/>
      <c r="I27" s="431"/>
      <c r="J27" s="431"/>
      <c r="K27" s="22"/>
      <c r="L27" s="23"/>
    </row>
    <row r="28" spans="2:12" ht="20.149999999999999" customHeight="1" x14ac:dyDescent="0.45">
      <c r="B28" s="21"/>
      <c r="C28" s="45"/>
      <c r="D28" s="503"/>
      <c r="E28" s="503"/>
      <c r="F28" s="503"/>
      <c r="G28" s="45"/>
      <c r="H28" s="65"/>
      <c r="I28" s="65"/>
      <c r="J28" s="65"/>
      <c r="K28" s="22"/>
      <c r="L28" s="23"/>
    </row>
    <row r="29" spans="2:12" ht="20.149999999999999" customHeight="1" x14ac:dyDescent="0.45">
      <c r="B29" s="21"/>
      <c r="C29" s="45"/>
      <c r="D29" s="503"/>
      <c r="E29" s="503"/>
      <c r="F29" s="503"/>
      <c r="G29" s="45"/>
      <c r="H29" s="65"/>
      <c r="I29" s="65"/>
      <c r="J29" s="65"/>
      <c r="K29" s="22"/>
      <c r="L29" s="23"/>
    </row>
    <row r="30" spans="2:12" ht="20.149999999999999" customHeight="1" x14ac:dyDescent="0.45">
      <c r="B30" s="21"/>
      <c r="C30" s="45"/>
      <c r="D30" s="503"/>
      <c r="E30" s="503"/>
      <c r="F30" s="503"/>
      <c r="G30" s="45"/>
      <c r="H30" s="65"/>
      <c r="I30" s="65"/>
      <c r="J30" s="65"/>
      <c r="K30" s="22"/>
      <c r="L30" s="23"/>
    </row>
    <row r="31" spans="2:12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12" ht="20.149999999999999" customHeight="1" thickBot="1" x14ac:dyDescent="0.5">
      <c r="B32" s="24"/>
      <c r="C32" s="25"/>
      <c r="D32" s="473"/>
      <c r="E32" s="473"/>
      <c r="F32" s="473"/>
      <c r="G32" s="25"/>
      <c r="H32" s="66"/>
      <c r="I32" s="66"/>
      <c r="J32" s="66"/>
      <c r="K32" s="26"/>
      <c r="L32" s="27"/>
    </row>
    <row r="33" spans="2:12" ht="20.149999999999999" customHeight="1" thickBot="1" x14ac:dyDescent="0.5">
      <c r="B33" s="28"/>
      <c r="L33" s="29"/>
    </row>
    <row r="34" spans="2:12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 t="e">
        <f>SUM(L12:L33)</f>
        <v>#N/A</v>
      </c>
    </row>
    <row r="35" spans="2:12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 t="e">
        <f>L37</f>
        <v>#N/A</v>
      </c>
    </row>
    <row r="36" spans="2:12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 t="e">
        <f>L34/107*100</f>
        <v>#N/A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7.0000000000000007E-2</v>
      </c>
      <c r="L37" s="44" t="e">
        <f>L36*K37</f>
        <v>#N/A</v>
      </c>
    </row>
    <row r="38" spans="2:12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558" t="s">
        <v>21</v>
      </c>
      <c r="K38" s="559"/>
      <c r="L38" s="33" t="e">
        <f>L36+L37</f>
        <v>#N/A</v>
      </c>
    </row>
    <row r="39" spans="2:12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2" ht="20.149999999999999" customHeight="1" x14ac:dyDescent="0.45">
      <c r="B40" s="183" t="s">
        <v>749</v>
      </c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34"/>
      <c r="C44" s="35"/>
      <c r="D44" s="35"/>
      <c r="J44" s="35"/>
      <c r="K44" s="35"/>
      <c r="L44" s="36"/>
    </row>
    <row r="45" spans="2:12" ht="20.149999999999999" customHeight="1" x14ac:dyDescent="0.45">
      <c r="B45" s="28" t="s">
        <v>24</v>
      </c>
      <c r="J45" s="60" t="s">
        <v>25</v>
      </c>
      <c r="L45" s="29"/>
    </row>
    <row r="46" spans="2:12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51">
    <mergeCell ref="D12:F12"/>
    <mergeCell ref="I12:J12"/>
    <mergeCell ref="D13:F13"/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K10:L10"/>
    <mergeCell ref="I13:J13"/>
    <mergeCell ref="D15:F15"/>
    <mergeCell ref="I15:J15"/>
    <mergeCell ref="D16:F16"/>
    <mergeCell ref="I16:J16"/>
    <mergeCell ref="D14:F14"/>
    <mergeCell ref="I14:J14"/>
    <mergeCell ref="D17:F17"/>
    <mergeCell ref="I17:J17"/>
    <mergeCell ref="D18:F18"/>
    <mergeCell ref="I18:J18"/>
    <mergeCell ref="D19:F19"/>
    <mergeCell ref="I19:J19"/>
    <mergeCell ref="D29:F29"/>
    <mergeCell ref="D30:F30"/>
    <mergeCell ref="D20:F20"/>
    <mergeCell ref="I20:J20"/>
    <mergeCell ref="D21:F21"/>
    <mergeCell ref="I21:J21"/>
    <mergeCell ref="D22:F22"/>
    <mergeCell ref="I22:J22"/>
    <mergeCell ref="D32:F32"/>
    <mergeCell ref="J34:K34"/>
    <mergeCell ref="J36:K36"/>
    <mergeCell ref="J38:K38"/>
    <mergeCell ref="D23:F23"/>
    <mergeCell ref="I23:J23"/>
    <mergeCell ref="D31:F31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</mergeCells>
  <hyperlinks>
    <hyperlink ref="B6" r:id="rId1" xr:uid="{9AD731EB-485C-4728-9EF5-BEFA555E2E5B}"/>
  </hyperlinks>
  <printOptions horizontalCentered="1"/>
  <pageMargins left="0.70866141732283505" right="0.31496062992126" top="2.1653543307086598" bottom="0" header="0.31496062992126" footer="0.31496062992126"/>
  <pageSetup paperSize="9" scale="74" fitToHeight="0" orientation="portrait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320D-71FF-4833-84C7-6FFA130D2305}">
  <sheetPr codeName="Sheet141">
    <tabColor rgb="FF7030A0"/>
    <pageSetUpPr fitToPage="1"/>
  </sheetPr>
  <dimension ref="B1:W56"/>
  <sheetViews>
    <sheetView topLeftCell="A25" zoomScaleNormal="100" workbookViewId="0">
      <selection activeCell="J38" sqref="J38:K3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5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5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5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5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5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5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5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1341</v>
      </c>
      <c r="J10" s="17" t="s">
        <v>26</v>
      </c>
      <c r="K10" s="455">
        <v>202212260</v>
      </c>
      <c r="L10" s="456"/>
    </row>
    <row r="11" spans="2:15" ht="20.149999999999999" customHeight="1" x14ac:dyDescent="0.45">
      <c r="B11" s="480" t="s">
        <v>362</v>
      </c>
      <c r="C11" s="481"/>
      <c r="D11" s="482"/>
      <c r="E11" s="61"/>
      <c r="F11" s="444" t="str">
        <f>VLOOKUP(H10,'Delivery Location'!A$4:N$423,2,0)</f>
        <v>美林 A3                                                    Blk 50, Commonwealth Drive #23-504 Singapore 142050</v>
      </c>
      <c r="G11" s="445"/>
      <c r="H11" s="446"/>
      <c r="J11" s="18" t="s">
        <v>9</v>
      </c>
      <c r="K11" s="460">
        <v>44910</v>
      </c>
      <c r="L11" s="461"/>
    </row>
    <row r="12" spans="2:15" ht="20.149999999999999" customHeight="1" x14ac:dyDescent="0.45">
      <c r="B12" s="462" t="s">
        <v>1340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N12" s="60" t="s">
        <v>1219</v>
      </c>
    </row>
    <row r="13" spans="2:15" ht="20.149999999999999" customHeight="1" x14ac:dyDescent="0.45">
      <c r="B13" s="462" t="s">
        <v>1339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  <c r="N13" s="60" t="s">
        <v>1112</v>
      </c>
      <c r="O13" s="60" t="s">
        <v>1203</v>
      </c>
    </row>
    <row r="14" spans="2:15" ht="20.149999999999999" customHeight="1" x14ac:dyDescent="0.45">
      <c r="B14" s="462" t="s">
        <v>415</v>
      </c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  <c r="N14" s="60" t="s">
        <v>1001</v>
      </c>
    </row>
    <row r="15" spans="2:15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3" ht="20.149999999999999" customHeight="1" x14ac:dyDescent="0.45">
      <c r="B18" s="149"/>
      <c r="C18" s="45" t="s">
        <v>883</v>
      </c>
      <c r="D18" s="430" t="str">
        <f>VLOOKUP(C18,'Sales Master'!B$3:D$644,2,0)</f>
        <v>Herbal Jelly Powder 龟苓膏粉</v>
      </c>
      <c r="E18" s="430"/>
      <c r="F18" s="430"/>
      <c r="G18" s="99">
        <v>10</v>
      </c>
      <c r="H18" s="241" t="str">
        <f>VLOOKUP(C18,'Sales Master'!B$3:F$936,5,0)</f>
        <v>500 GM/BAG</v>
      </c>
      <c r="I18" s="491" t="str">
        <f>VLOOKUP(C18,'Sales Master'!B$3:E$936,4,0)</f>
        <v>-</v>
      </c>
      <c r="J18" s="491"/>
      <c r="K18" s="22">
        <f>VLOOKUP(C18,'Sales Master'!B$3:CI$527,86,0)</f>
        <v>7</v>
      </c>
      <c r="L18" s="71">
        <f>K18*G18</f>
        <v>70</v>
      </c>
      <c r="N18" s="247">
        <f>VLOOKUP(C18,'Sales Master'!$B$3:$FA$3051,156,0)</f>
        <v>3.9</v>
      </c>
      <c r="O18" s="247">
        <f>K18-N18</f>
        <v>3.1</v>
      </c>
      <c r="P18" s="247">
        <f>O18*G18</f>
        <v>31</v>
      </c>
    </row>
    <row r="19" spans="2:23" ht="20.149999999999999" customHeight="1" x14ac:dyDescent="0.45">
      <c r="B19" s="149"/>
      <c r="C19" s="45" t="s">
        <v>855</v>
      </c>
      <c r="D19" s="430" t="str">
        <f>VLOOKUP(C19,'Sales Master'!B$3:D$644,2,0)</f>
        <v>Atap Seeds in Syrup 亚嗒子</v>
      </c>
      <c r="E19" s="430"/>
      <c r="F19" s="430"/>
      <c r="G19" s="99">
        <v>1</v>
      </c>
      <c r="H19" s="241" t="str">
        <f>VLOOKUP(C19,'Sales Master'!B$3:F$936,5,0)</f>
        <v>20 kgs/桶</v>
      </c>
      <c r="I19" s="432" t="str">
        <f>VLOOKUP(C19,'Sales Master'!B$3:E$936,4,0)</f>
        <v>2P</v>
      </c>
      <c r="J19" s="432"/>
      <c r="K19" s="22">
        <f>VLOOKUP(C19,'Sales Master'!B$3:CI$527,86,0)</f>
        <v>68</v>
      </c>
      <c r="L19" s="71">
        <f>K19*G19</f>
        <v>68</v>
      </c>
      <c r="N19" s="247">
        <f>VLOOKUP(C19,'Sales Master'!$B$3:$FA$3051,156,0)</f>
        <v>59.400000000000006</v>
      </c>
      <c r="O19" s="247">
        <f>K19-N19</f>
        <v>8.5999999999999943</v>
      </c>
      <c r="P19" s="247">
        <f>O19*G19</f>
        <v>8.5999999999999943</v>
      </c>
      <c r="R19" s="60" t="s">
        <v>334</v>
      </c>
      <c r="V19" s="60">
        <v>15</v>
      </c>
      <c r="W19" s="60">
        <v>15</v>
      </c>
    </row>
    <row r="20" spans="2:23" ht="20.149999999999999" customHeight="1" x14ac:dyDescent="0.45">
      <c r="B20" s="149"/>
      <c r="C20" s="45" t="s">
        <v>1020</v>
      </c>
      <c r="D20" s="430" t="str">
        <f>VLOOKUP(C20,'Sales Master'!B$3:D$644,2,0)</f>
        <v>Sea Coconut 海底椰</v>
      </c>
      <c r="E20" s="430"/>
      <c r="F20" s="430"/>
      <c r="G20" s="99">
        <v>4</v>
      </c>
      <c r="H20" s="241" t="str">
        <f>VLOOKUP(C20,'Sales Master'!B$3:F$936,5,0)</f>
        <v>1 Can X A10</v>
      </c>
      <c r="I20" s="432" t="str">
        <f>VLOOKUP(C20,'Sales Master'!B$3:E$936,4,0)</f>
        <v>Chefs</v>
      </c>
      <c r="J20" s="432"/>
      <c r="K20" s="22">
        <f>VLOOKUP(C20,'Sales Master'!B$3:CI$527,86,0)</f>
        <v>19</v>
      </c>
      <c r="L20" s="71">
        <f>K20*G20</f>
        <v>76</v>
      </c>
      <c r="N20" s="247">
        <f>VLOOKUP(C20,'Sales Master'!$B$3:$FA$3051,156,0)</f>
        <v>14.333333333333334</v>
      </c>
      <c r="O20" s="247">
        <f>K20-N20</f>
        <v>4.6666666666666661</v>
      </c>
      <c r="P20" s="247">
        <f>O20*G20</f>
        <v>18.666666666666664</v>
      </c>
      <c r="R20" s="60" t="s">
        <v>334</v>
      </c>
    </row>
    <row r="21" spans="2:23" ht="20.149999999999999" customHeight="1" x14ac:dyDescent="0.45">
      <c r="B21" s="149"/>
      <c r="C21" s="45" t="s">
        <v>1112</v>
      </c>
      <c r="D21" s="430" t="str">
        <f>VLOOKUP(C21,'Sales Master'!B$3:D$644,2,0)</f>
        <v>Food Coloring 颜色水</v>
      </c>
      <c r="E21" s="430"/>
      <c r="F21" s="430"/>
      <c r="G21" s="99">
        <v>3</v>
      </c>
      <c r="H21" s="241" t="str">
        <f>VLOOKUP(C21,'Sales Master'!B$3:F$936,5,0)</f>
        <v>5 lt</v>
      </c>
      <c r="I21" s="432" t="str">
        <f>VLOOKUP(C21,'Sales Master'!B$3:E$936,4,0)</f>
        <v>Black/黑</v>
      </c>
      <c r="J21" s="432"/>
      <c r="K21" s="22">
        <f>VLOOKUP(C21,'Sales Master'!B$3:CI$527,86,0)</f>
        <v>29</v>
      </c>
      <c r="L21" s="71">
        <f>K21*G21</f>
        <v>87</v>
      </c>
      <c r="N21" s="247">
        <f>VLOOKUP(C21,'Sales Master'!$B$3:$FA$3051,156,0)</f>
        <v>24.3</v>
      </c>
      <c r="O21" s="247">
        <f>K21-N21</f>
        <v>4.6999999999999993</v>
      </c>
      <c r="P21" s="247">
        <f>O21*G21</f>
        <v>14.099999999999998</v>
      </c>
    </row>
    <row r="22" spans="2:23" ht="20.149999999999999" customHeight="1" x14ac:dyDescent="0.45">
      <c r="B22" s="149"/>
      <c r="C22" s="45"/>
      <c r="D22" s="430"/>
      <c r="E22" s="430"/>
      <c r="F22" s="430"/>
      <c r="G22" s="99"/>
      <c r="H22" s="241"/>
      <c r="I22" s="432"/>
      <c r="J22" s="432"/>
      <c r="K22" s="22"/>
      <c r="L22" s="71"/>
      <c r="N22" s="247"/>
      <c r="O22" s="247"/>
      <c r="P22" s="247"/>
    </row>
    <row r="23" spans="2:23" ht="20.149999999999999" customHeight="1" x14ac:dyDescent="0.45">
      <c r="B23" s="149"/>
      <c r="C23" s="45"/>
      <c r="D23" s="69"/>
      <c r="E23" s="69"/>
      <c r="F23" s="69"/>
      <c r="G23" s="99"/>
      <c r="H23" s="241"/>
      <c r="I23" s="322"/>
      <c r="J23" s="322"/>
      <c r="K23" s="22"/>
      <c r="L23" s="71"/>
      <c r="N23" s="247"/>
      <c r="O23" s="247"/>
      <c r="P23" s="247"/>
    </row>
    <row r="24" spans="2:23" ht="20.149999999999999" customHeight="1" x14ac:dyDescent="0.45">
      <c r="B24" s="149"/>
      <c r="C24" s="45"/>
      <c r="D24" s="69"/>
      <c r="E24" s="69"/>
      <c r="F24" s="69"/>
      <c r="G24" s="99"/>
      <c r="H24" s="241"/>
      <c r="I24" s="322"/>
      <c r="J24" s="322"/>
      <c r="K24" s="22"/>
      <c r="L24" s="71"/>
      <c r="N24" s="247"/>
      <c r="O24" s="247"/>
      <c r="P24" s="247"/>
    </row>
    <row r="25" spans="2:23" ht="20.149999999999999" customHeight="1" x14ac:dyDescent="0.45">
      <c r="B25" s="149"/>
      <c r="C25" s="140"/>
      <c r="E25" s="69"/>
      <c r="F25" s="69"/>
      <c r="G25" s="99"/>
      <c r="H25" s="65"/>
      <c r="I25" s="65"/>
      <c r="J25" s="65"/>
      <c r="K25" s="96"/>
      <c r="L25" s="71"/>
      <c r="N25" s="247"/>
      <c r="O25" s="247"/>
      <c r="P25" s="247"/>
    </row>
    <row r="26" spans="2:23" ht="20.149999999999999" customHeight="1" x14ac:dyDescent="0.45">
      <c r="B26" s="149"/>
      <c r="C26" s="45"/>
      <c r="D26" s="430"/>
      <c r="E26" s="430"/>
      <c r="F26" s="430"/>
      <c r="G26" s="99"/>
      <c r="H26" s="241"/>
      <c r="I26" s="432"/>
      <c r="J26" s="432"/>
      <c r="K26" s="96"/>
      <c r="L26" s="71"/>
      <c r="N26" s="247"/>
      <c r="O26" s="247"/>
      <c r="P26" s="247"/>
    </row>
    <row r="27" spans="2:23" ht="20.149999999999999" customHeight="1" x14ac:dyDescent="0.45">
      <c r="B27" s="149"/>
      <c r="C27" s="45"/>
      <c r="D27" s="69"/>
      <c r="E27" s="69"/>
      <c r="F27" s="69"/>
      <c r="G27" s="99"/>
      <c r="H27" s="65"/>
      <c r="I27" s="65"/>
      <c r="J27" s="65"/>
      <c r="K27" s="22"/>
      <c r="L27" s="71"/>
      <c r="N27" s="247"/>
      <c r="O27" s="247"/>
      <c r="P27" s="247"/>
    </row>
    <row r="28" spans="2:23" ht="20.149999999999999" customHeight="1" x14ac:dyDescent="0.45">
      <c r="B28" s="70"/>
      <c r="C28" s="12" t="s">
        <v>1236</v>
      </c>
      <c r="D28" s="12"/>
      <c r="E28" s="12"/>
      <c r="F28" s="12"/>
      <c r="G28" s="12"/>
      <c r="H28" s="65"/>
      <c r="I28" s="65"/>
      <c r="J28" s="65"/>
      <c r="K28" s="96"/>
      <c r="L28" s="71"/>
    </row>
    <row r="29" spans="2:23" ht="20.149999999999999" customHeight="1" x14ac:dyDescent="0.45">
      <c r="B29" s="70"/>
      <c r="C29" s="69" t="s">
        <v>1320</v>
      </c>
      <c r="G29" s="99"/>
      <c r="H29" s="65"/>
      <c r="I29" s="206"/>
      <c r="J29" s="206"/>
      <c r="K29" s="96"/>
      <c r="L29" s="71"/>
    </row>
    <row r="30" spans="2:23" ht="20.149999999999999" customHeight="1" x14ac:dyDescent="0.45">
      <c r="B30" s="70"/>
      <c r="C30" s="69" t="s">
        <v>1317</v>
      </c>
      <c r="G30" s="99"/>
      <c r="H30" s="65"/>
      <c r="I30" s="206"/>
      <c r="J30" s="206"/>
      <c r="K30" s="96"/>
      <c r="L30" s="71"/>
    </row>
    <row r="31" spans="2:23" ht="20.149999999999999" customHeight="1" x14ac:dyDescent="0.45">
      <c r="B31" s="70"/>
      <c r="D31" s="69"/>
      <c r="E31" s="69"/>
      <c r="F31" s="69"/>
      <c r="G31" s="99"/>
      <c r="H31" s="65"/>
      <c r="I31" s="65"/>
      <c r="J31" s="65"/>
      <c r="K31" s="22"/>
      <c r="L31" s="71"/>
    </row>
    <row r="32" spans="2:23" ht="20.149999999999999" customHeight="1" thickBot="1" x14ac:dyDescent="0.5">
      <c r="B32" s="24"/>
      <c r="C32" s="25"/>
      <c r="D32" s="473"/>
      <c r="E32" s="473"/>
      <c r="F32" s="473"/>
      <c r="G32" s="25"/>
      <c r="H32" s="66"/>
      <c r="I32" s="66"/>
      <c r="J32" s="66"/>
      <c r="K32" s="26"/>
      <c r="L32" s="27"/>
    </row>
    <row r="33" spans="2:18" ht="20.149999999999999" customHeight="1" thickBot="1" x14ac:dyDescent="0.5">
      <c r="B33" s="28"/>
      <c r="J33" s="208"/>
      <c r="K33" s="208"/>
      <c r="L33" s="215"/>
    </row>
    <row r="34" spans="2:18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216">
        <f>SUM(L18:L32)</f>
        <v>301</v>
      </c>
      <c r="M34" s="95">
        <f>SUM(P13:P30)-(L34*0.02)</f>
        <v>66.346666666666664</v>
      </c>
      <c r="N34" s="248">
        <f>M34/L34</f>
        <v>0.22042081949058692</v>
      </c>
    </row>
    <row r="35" spans="2:18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217">
        <f>L37</f>
        <v>22.296296296296298</v>
      </c>
    </row>
    <row r="36" spans="2:18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218">
        <f>L34/108*100</f>
        <v>278.7037037037037</v>
      </c>
    </row>
    <row r="37" spans="2:18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0.08</v>
      </c>
      <c r="L37" s="219">
        <f>L36*K37</f>
        <v>22.296296296296298</v>
      </c>
      <c r="N37" s="45"/>
      <c r="O37" s="430"/>
      <c r="P37" s="430"/>
      <c r="Q37" s="430"/>
      <c r="R37" s="99"/>
    </row>
    <row r="38" spans="2:18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92" t="s">
        <v>21</v>
      </c>
      <c r="K38" s="493"/>
      <c r="L38" s="220">
        <f>L36+L37</f>
        <v>301</v>
      </c>
    </row>
    <row r="39" spans="2:18" ht="20.149999999999999" customHeight="1" thickTop="1" x14ac:dyDescent="0.45">
      <c r="B39" s="11" t="s">
        <v>23</v>
      </c>
      <c r="C39" s="10"/>
      <c r="D39" s="10"/>
      <c r="E39" s="10"/>
      <c r="F39" s="10"/>
      <c r="G39" s="10"/>
      <c r="J39" s="243"/>
      <c r="L39" s="238"/>
    </row>
    <row r="40" spans="2:18" ht="20.149999999999999" customHeight="1" x14ac:dyDescent="0.45">
      <c r="B40" s="183" t="s">
        <v>749</v>
      </c>
      <c r="J40" s="243"/>
      <c r="L40" s="238"/>
    </row>
    <row r="41" spans="2:18" ht="20.149999999999999" customHeight="1" x14ac:dyDescent="0.45">
      <c r="B41" s="28"/>
      <c r="J41" s="440"/>
      <c r="K41" s="440"/>
      <c r="L41" s="268"/>
    </row>
    <row r="42" spans="2:18" ht="20.149999999999999" customHeight="1" x14ac:dyDescent="0.45">
      <c r="B42" s="28"/>
      <c r="L42" s="221"/>
    </row>
    <row r="43" spans="2:18" ht="20.149999999999999" customHeight="1" x14ac:dyDescent="0.45">
      <c r="B43" s="28"/>
      <c r="L43" s="221"/>
    </row>
    <row r="44" spans="2:18" ht="20.149999999999999" customHeight="1" x14ac:dyDescent="0.45">
      <c r="B44" s="34"/>
      <c r="C44" s="35"/>
      <c r="D44" s="35"/>
      <c r="J44" s="35"/>
      <c r="K44" s="35"/>
      <c r="L44" s="222"/>
    </row>
    <row r="45" spans="2:18" ht="20.149999999999999" customHeight="1" x14ac:dyDescent="0.45">
      <c r="B45" s="28" t="s">
        <v>24</v>
      </c>
      <c r="J45" s="60" t="s">
        <v>25</v>
      </c>
      <c r="L45" s="29"/>
    </row>
    <row r="46" spans="2:18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8" spans="2:18" x14ac:dyDescent="0.45">
      <c r="G48" s="99"/>
    </row>
    <row r="49" spans="7:7" x14ac:dyDescent="0.45">
      <c r="G49" s="99"/>
    </row>
    <row r="50" spans="7:7" x14ac:dyDescent="0.45">
      <c r="G50" s="99"/>
    </row>
    <row r="51" spans="7:7" x14ac:dyDescent="0.45">
      <c r="G51" s="99"/>
    </row>
    <row r="52" spans="7:7" x14ac:dyDescent="0.45">
      <c r="G52" s="99"/>
    </row>
    <row r="53" spans="7:7" x14ac:dyDescent="0.45">
      <c r="G53" s="99"/>
    </row>
    <row r="54" spans="7:7" x14ac:dyDescent="0.45">
      <c r="G54" s="99"/>
    </row>
    <row r="55" spans="7:7" x14ac:dyDescent="0.45">
      <c r="G55" s="99"/>
    </row>
    <row r="56" spans="7:7" x14ac:dyDescent="0.45">
      <c r="G56" s="99"/>
    </row>
  </sheetData>
  <mergeCells count="33">
    <mergeCell ref="O37:Q37"/>
    <mergeCell ref="J38:K38"/>
    <mergeCell ref="J41:K41"/>
    <mergeCell ref="D32:F32"/>
    <mergeCell ref="J34:K34"/>
    <mergeCell ref="J36:K36"/>
    <mergeCell ref="K15:L15"/>
    <mergeCell ref="D21:F21"/>
    <mergeCell ref="I21:J21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6:F26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5">
    <cfRule type="duplicateValues" dxfId="138" priority="1"/>
  </conditionalFormatting>
  <conditionalFormatting sqref="C26">
    <cfRule type="duplicateValues" dxfId="137" priority="2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3C8E5-794D-4C62-85DF-55AE4C1B9AA8}">
  <sheetPr codeName="Sheet125">
    <tabColor rgb="FFFFFF00"/>
    <pageSetUpPr fitToPage="1"/>
  </sheetPr>
  <dimension ref="B4:V46"/>
  <sheetViews>
    <sheetView topLeftCell="B1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22" ht="21" customHeight="1" thickBot="1" x14ac:dyDescent="0.5">
      <c r="B4" s="12"/>
    </row>
    <row r="5" spans="2:22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482</v>
      </c>
      <c r="J5" s="17" t="s">
        <v>26</v>
      </c>
      <c r="K5" s="455">
        <v>202002434</v>
      </c>
      <c r="L5" s="456"/>
    </row>
    <row r="6" spans="2:22" ht="20.149999999999999" customHeight="1" x14ac:dyDescent="0.45">
      <c r="B6" s="480"/>
      <c r="C6" s="481"/>
      <c r="D6" s="482"/>
      <c r="E6" s="61"/>
      <c r="F6" s="444" t="str">
        <f>VLOOKUP(H5,'Delivery Location'!A$4:N$423,2,0)</f>
        <v>AAA                                                          Blk.15  Woodlands Loop #04-55 Singapore 738322</v>
      </c>
      <c r="G6" s="445"/>
      <c r="H6" s="446"/>
      <c r="J6" s="18" t="s">
        <v>9</v>
      </c>
      <c r="K6" s="502" t="s">
        <v>598</v>
      </c>
      <c r="L6" s="466"/>
    </row>
    <row r="7" spans="2:22" ht="20.149999999999999" customHeight="1" x14ac:dyDescent="0.45">
      <c r="B7" s="462"/>
      <c r="C7" s="463"/>
      <c r="D7" s="464"/>
      <c r="E7" s="61"/>
      <c r="F7" s="447"/>
      <c r="G7" s="448"/>
      <c r="H7" s="449"/>
      <c r="J7" s="18" t="s">
        <v>81</v>
      </c>
      <c r="K7" s="465" t="s">
        <v>312</v>
      </c>
      <c r="L7" s="466"/>
    </row>
    <row r="8" spans="2:22" ht="20.149999999999999" customHeight="1" x14ac:dyDescent="0.45">
      <c r="B8" s="462"/>
      <c r="C8" s="463"/>
      <c r="D8" s="464"/>
      <c r="E8" s="61"/>
      <c r="F8" s="447"/>
      <c r="G8" s="448"/>
      <c r="H8" s="449"/>
      <c r="J8" s="18" t="s">
        <v>10</v>
      </c>
      <c r="K8" s="465" t="s">
        <v>83</v>
      </c>
      <c r="L8" s="466"/>
    </row>
    <row r="9" spans="2:22" ht="20.149999999999999" customHeight="1" x14ac:dyDescent="0.45">
      <c r="B9" s="462"/>
      <c r="C9" s="463"/>
      <c r="D9" s="464"/>
      <c r="E9" s="61"/>
      <c r="F9" s="447"/>
      <c r="G9" s="448"/>
      <c r="H9" s="449"/>
      <c r="J9" s="18" t="s">
        <v>27</v>
      </c>
      <c r="K9" s="465" t="s">
        <v>14</v>
      </c>
      <c r="L9" s="466"/>
    </row>
    <row r="10" spans="2:22" ht="18" customHeight="1" thickBot="1" x14ac:dyDescent="0.5">
      <c r="B10" s="63"/>
      <c r="C10" s="64"/>
      <c r="D10" s="59"/>
      <c r="E10" s="14"/>
      <c r="F10" s="450"/>
      <c r="G10" s="451"/>
      <c r="H10" s="452"/>
      <c r="J10" s="19" t="s">
        <v>11</v>
      </c>
      <c r="K10" s="483" t="s">
        <v>520</v>
      </c>
      <c r="L10" s="484"/>
    </row>
    <row r="11" spans="2:22" ht="19" thickBot="1" x14ac:dyDescent="0.5">
      <c r="J11" s="45"/>
    </row>
    <row r="12" spans="2:22" ht="30" customHeight="1" thickBot="1" x14ac:dyDescent="0.5">
      <c r="B12" s="41" t="s">
        <v>2</v>
      </c>
      <c r="C12" s="42" t="s">
        <v>3</v>
      </c>
      <c r="D12" s="470" t="s">
        <v>4</v>
      </c>
      <c r="E12" s="471"/>
      <c r="F12" s="472"/>
      <c r="G12" s="58" t="s">
        <v>335</v>
      </c>
      <c r="H12" s="42" t="s">
        <v>28</v>
      </c>
      <c r="I12" s="470" t="s">
        <v>57</v>
      </c>
      <c r="J12" s="472"/>
      <c r="K12" s="42" t="s">
        <v>5</v>
      </c>
      <c r="L12" s="43" t="s">
        <v>6</v>
      </c>
      <c r="M12" s="20"/>
      <c r="N12" s="20"/>
      <c r="O12" s="20"/>
    </row>
    <row r="13" spans="2:22" ht="20.149999999999999" customHeight="1" x14ac:dyDescent="0.45">
      <c r="B13" s="21"/>
      <c r="C13" s="45" t="s">
        <v>314</v>
      </c>
      <c r="D13" s="430" t="e">
        <f>VLOOKUP(C13,'Sales Master'!B$3:D$316,2,0)</f>
        <v>#N/A</v>
      </c>
      <c r="E13" s="430"/>
      <c r="F13" s="430"/>
      <c r="G13" s="45">
        <v>1</v>
      </c>
      <c r="H13" s="65" t="e">
        <f>VLOOKUP(C13,'Sales Master'!B$3:F$936,5,0)</f>
        <v>#N/A</v>
      </c>
      <c r="I13" s="431" t="e">
        <f>VLOOKUP(C13,'Sales Master'!B$3:E$936,4,0)</f>
        <v>#N/A</v>
      </c>
      <c r="J13" s="431"/>
      <c r="K13" s="22" t="e">
        <f>VLOOKUP(C13,'Sales Master'!B$3:CD$536,81,0)</f>
        <v>#N/A</v>
      </c>
      <c r="L13" s="23" t="e">
        <f>K13*G13</f>
        <v>#N/A</v>
      </c>
      <c r="N13" s="60" t="s">
        <v>313</v>
      </c>
      <c r="O13" s="60" t="s">
        <v>161</v>
      </c>
      <c r="R13" s="60">
        <v>1</v>
      </c>
      <c r="S13" s="60" t="s">
        <v>384</v>
      </c>
      <c r="T13" s="60" t="s">
        <v>33</v>
      </c>
      <c r="V13" s="60">
        <v>6</v>
      </c>
    </row>
    <row r="14" spans="2:22" ht="20.149999999999999" customHeight="1" x14ac:dyDescent="0.45">
      <c r="B14" s="21"/>
      <c r="C14" s="45" t="s">
        <v>344</v>
      </c>
      <c r="D14" s="430" t="e">
        <f>VLOOKUP(C14,'Sales Master'!B$3:D$316,2,0)</f>
        <v>#N/A</v>
      </c>
      <c r="E14" s="430"/>
      <c r="F14" s="430"/>
      <c r="G14" s="45">
        <v>1</v>
      </c>
      <c r="H14" s="65" t="e">
        <f>VLOOKUP(C14,'Sales Master'!B$3:F$936,5,0)</f>
        <v>#N/A</v>
      </c>
      <c r="I14" s="431" t="e">
        <f>VLOOKUP(C14,'Sales Master'!B$3:E$936,4,0)</f>
        <v>#N/A</v>
      </c>
      <c r="J14" s="431"/>
      <c r="K14" s="22" t="e">
        <f>VLOOKUP(C14,'Sales Master'!B$3:CD$536,81,0)</f>
        <v>#N/A</v>
      </c>
      <c r="L14" s="23" t="e">
        <f>K14*G14</f>
        <v>#N/A</v>
      </c>
      <c r="N14" s="60" t="s">
        <v>314</v>
      </c>
      <c r="O14" s="60" t="s">
        <v>165</v>
      </c>
      <c r="R14" s="60">
        <v>1</v>
      </c>
      <c r="S14" s="60" t="s">
        <v>384</v>
      </c>
      <c r="T14" s="60" t="s">
        <v>59</v>
      </c>
      <c r="V14" s="60">
        <v>6</v>
      </c>
    </row>
    <row r="15" spans="2:22" ht="20.149999999999999" customHeight="1" x14ac:dyDescent="0.45">
      <c r="B15" s="21"/>
      <c r="C15" s="45" t="s">
        <v>285</v>
      </c>
      <c r="D15" s="430" t="e">
        <f>VLOOKUP(C15,'Sales Master'!B$3:D$316,2,0)</f>
        <v>#N/A</v>
      </c>
      <c r="E15" s="430"/>
      <c r="F15" s="430"/>
      <c r="G15" s="45">
        <v>1</v>
      </c>
      <c r="H15" s="65" t="e">
        <f>VLOOKUP(C15,'Sales Master'!B$3:F$936,5,0)</f>
        <v>#N/A</v>
      </c>
      <c r="I15" s="431" t="e">
        <f>VLOOKUP(C15,'Sales Master'!B$3:E$936,4,0)</f>
        <v>#N/A</v>
      </c>
      <c r="J15" s="431"/>
      <c r="K15" s="22" t="e">
        <f>VLOOKUP(C15,'Sales Master'!B$3:CD$536,81,0)</f>
        <v>#N/A</v>
      </c>
      <c r="L15" s="23" t="e">
        <f>K15*G15</f>
        <v>#N/A</v>
      </c>
      <c r="N15" s="60" t="s">
        <v>344</v>
      </c>
      <c r="O15" s="60" t="s">
        <v>174</v>
      </c>
      <c r="R15" s="60">
        <v>1</v>
      </c>
      <c r="S15" s="60" t="s">
        <v>301</v>
      </c>
      <c r="T15" s="60" t="s">
        <v>33</v>
      </c>
      <c r="V15" s="60">
        <v>9</v>
      </c>
    </row>
    <row r="16" spans="2:22" ht="20.149999999999999" customHeight="1" x14ac:dyDescent="0.45">
      <c r="B16" s="21"/>
      <c r="C16" s="45" t="s">
        <v>286</v>
      </c>
      <c r="D16" s="430" t="e">
        <f>VLOOKUP(C16,'Sales Master'!B$3:D$316,2,0)</f>
        <v>#N/A</v>
      </c>
      <c r="E16" s="430"/>
      <c r="F16" s="430"/>
      <c r="G16" s="45">
        <v>5</v>
      </c>
      <c r="H16" s="65" t="e">
        <f>VLOOKUP(C16,'Sales Master'!B$3:F$936,5,0)</f>
        <v>#N/A</v>
      </c>
      <c r="I16" s="431" t="e">
        <f>VLOOKUP(C16,'Sales Master'!B$3:E$936,4,0)</f>
        <v>#N/A</v>
      </c>
      <c r="J16" s="431"/>
      <c r="K16" s="22" t="e">
        <f>VLOOKUP(C16,'Sales Master'!B$3:CD$536,81,0)</f>
        <v>#N/A</v>
      </c>
      <c r="L16" s="23" t="e">
        <f>K16*G16</f>
        <v>#N/A</v>
      </c>
      <c r="N16" s="60" t="s">
        <v>285</v>
      </c>
      <c r="O16" s="60" t="s">
        <v>181</v>
      </c>
      <c r="R16" s="60">
        <v>1</v>
      </c>
      <c r="S16" s="60" t="s">
        <v>48</v>
      </c>
      <c r="T16" s="60" t="s">
        <v>33</v>
      </c>
      <c r="V16" s="60">
        <v>7</v>
      </c>
    </row>
    <row r="17" spans="2:22" ht="20.149999999999999" customHeight="1" x14ac:dyDescent="0.45">
      <c r="B17" s="21"/>
      <c r="C17" s="45" t="s">
        <v>287</v>
      </c>
      <c r="D17" s="430" t="e">
        <f>VLOOKUP(C17,'Sales Master'!B$3:D$316,2,0)</f>
        <v>#N/A</v>
      </c>
      <c r="E17" s="430"/>
      <c r="F17" s="430"/>
      <c r="G17" s="45">
        <v>2</v>
      </c>
      <c r="H17" s="65" t="e">
        <f>VLOOKUP(C17,'Sales Master'!B$3:F$936,5,0)</f>
        <v>#N/A</v>
      </c>
      <c r="I17" s="431" t="e">
        <f>VLOOKUP(C17,'Sales Master'!B$3:E$936,4,0)</f>
        <v>#N/A</v>
      </c>
      <c r="J17" s="431"/>
      <c r="K17" s="22" t="e">
        <f>VLOOKUP(C17,'Sales Master'!B$3:CD$536,81,0)</f>
        <v>#N/A</v>
      </c>
      <c r="L17" s="23" t="e">
        <f>K17*G17</f>
        <v>#N/A</v>
      </c>
      <c r="N17" s="60" t="s">
        <v>286</v>
      </c>
      <c r="O17" s="60" t="s">
        <v>184</v>
      </c>
      <c r="R17" s="60">
        <v>5</v>
      </c>
      <c r="S17" s="60" t="s">
        <v>31</v>
      </c>
      <c r="T17" s="60" t="s">
        <v>98</v>
      </c>
      <c r="V17" s="60">
        <v>12</v>
      </c>
    </row>
    <row r="18" spans="2:22" ht="20.149999999999999" customHeight="1" x14ac:dyDescent="0.45">
      <c r="B18" s="21"/>
      <c r="C18" s="45"/>
      <c r="D18" s="430"/>
      <c r="E18" s="430"/>
      <c r="F18" s="430"/>
      <c r="G18" s="45"/>
      <c r="H18" s="65"/>
      <c r="I18" s="431"/>
      <c r="J18" s="431"/>
      <c r="K18" s="22"/>
      <c r="L18" s="23"/>
      <c r="N18" s="60" t="s">
        <v>287</v>
      </c>
      <c r="O18" s="60" t="s">
        <v>185</v>
      </c>
      <c r="R18" s="60">
        <v>4</v>
      </c>
      <c r="S18" s="60" t="s">
        <v>31</v>
      </c>
      <c r="T18" s="60" t="s">
        <v>33</v>
      </c>
      <c r="V18" s="60">
        <v>4</v>
      </c>
    </row>
    <row r="19" spans="2:22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23"/>
      <c r="N19" s="60" t="s">
        <v>288</v>
      </c>
      <c r="O19" s="60" t="s">
        <v>192</v>
      </c>
      <c r="R19" s="60">
        <v>10</v>
      </c>
      <c r="S19" s="60" t="s">
        <v>411</v>
      </c>
      <c r="T19" s="60" t="s">
        <v>100</v>
      </c>
      <c r="V19" s="60">
        <v>2.4</v>
      </c>
    </row>
    <row r="20" spans="2:22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23"/>
    </row>
    <row r="21" spans="2:22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23"/>
    </row>
    <row r="22" spans="2:22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23"/>
    </row>
    <row r="23" spans="2:22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23"/>
    </row>
    <row r="24" spans="2:22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22"/>
      <c r="L24" s="23"/>
    </row>
    <row r="25" spans="2:22" ht="20.149999999999999" customHeight="1" x14ac:dyDescent="0.45">
      <c r="B25" s="21"/>
      <c r="C25" s="45"/>
      <c r="D25" s="430"/>
      <c r="E25" s="430"/>
      <c r="F25" s="430"/>
      <c r="G25" s="45"/>
      <c r="H25" s="65"/>
      <c r="I25" s="431"/>
      <c r="J25" s="431"/>
      <c r="K25" s="22"/>
      <c r="L25" s="23"/>
    </row>
    <row r="26" spans="2:22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23"/>
    </row>
    <row r="27" spans="2:22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23"/>
    </row>
    <row r="28" spans="2:22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23"/>
    </row>
    <row r="29" spans="2:22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23"/>
    </row>
    <row r="30" spans="2:22" ht="20.149999999999999" customHeight="1" x14ac:dyDescent="0.45">
      <c r="B30" s="21"/>
      <c r="C30" s="45"/>
      <c r="D30" s="430"/>
      <c r="E30" s="430"/>
      <c r="F30" s="430"/>
      <c r="G30" s="45"/>
      <c r="H30" s="65"/>
      <c r="I30" s="431"/>
      <c r="J30" s="431"/>
      <c r="K30" s="22"/>
      <c r="L30" s="23"/>
    </row>
    <row r="31" spans="2:22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22" ht="20.149999999999999" customHeight="1" thickBot="1" x14ac:dyDescent="0.5">
      <c r="B32" s="24"/>
      <c r="C32" s="25"/>
      <c r="D32" s="473"/>
      <c r="E32" s="473"/>
      <c r="F32" s="473"/>
      <c r="G32" s="25"/>
      <c r="H32" s="66"/>
      <c r="I32" s="66"/>
      <c r="J32" s="66"/>
      <c r="K32" s="26"/>
      <c r="L32" s="27"/>
    </row>
    <row r="33" spans="2:12" ht="20.149999999999999" customHeight="1" thickBot="1" x14ac:dyDescent="0.5">
      <c r="B33" s="28"/>
      <c r="L33" s="29"/>
    </row>
    <row r="34" spans="2:12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 t="e">
        <f>SUM(L12:L33)</f>
        <v>#N/A</v>
      </c>
    </row>
    <row r="35" spans="2:12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 t="e">
        <f>L37</f>
        <v>#N/A</v>
      </c>
    </row>
    <row r="36" spans="2:12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 t="e">
        <f>L34/107*100</f>
        <v>#N/A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7.0000000000000007E-2</v>
      </c>
      <c r="L37" s="44" t="e">
        <f>L36*K37</f>
        <v>#N/A</v>
      </c>
    </row>
    <row r="38" spans="2:12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 t="e">
        <f>L36+L37</f>
        <v>#N/A</v>
      </c>
    </row>
    <row r="39" spans="2:12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2" ht="20.149999999999999" customHeight="1" x14ac:dyDescent="0.45">
      <c r="B40" s="183" t="s">
        <v>749</v>
      </c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34"/>
      <c r="C44" s="35"/>
      <c r="D44" s="35"/>
      <c r="J44" s="35"/>
      <c r="K44" s="35"/>
      <c r="L44" s="36"/>
    </row>
    <row r="45" spans="2:12" ht="20.149999999999999" customHeight="1" x14ac:dyDescent="0.45">
      <c r="B45" s="28" t="s">
        <v>24</v>
      </c>
      <c r="J45" s="60" t="s">
        <v>25</v>
      </c>
      <c r="L45" s="29"/>
    </row>
    <row r="46" spans="2:12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54">
    <mergeCell ref="D29:F29"/>
    <mergeCell ref="I29:J29"/>
    <mergeCell ref="J38:K38"/>
    <mergeCell ref="D30:F30"/>
    <mergeCell ref="I30:J30"/>
    <mergeCell ref="D31:F31"/>
    <mergeCell ref="D32:F32"/>
    <mergeCell ref="J34:K34"/>
    <mergeCell ref="J36:K36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15:F15"/>
    <mergeCell ref="I15:J15"/>
    <mergeCell ref="D16:F16"/>
    <mergeCell ref="I16:J16"/>
    <mergeCell ref="D14:F14"/>
    <mergeCell ref="I14:J14"/>
    <mergeCell ref="D12:F12"/>
    <mergeCell ref="I12:J12"/>
    <mergeCell ref="D13:F13"/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K10:L10"/>
    <mergeCell ref="I13:J13"/>
  </mergeCells>
  <printOptions horizontalCentered="1"/>
  <pageMargins left="0.70866141732283505" right="0.31496062992126" top="2.1653543307086598" bottom="0" header="0.31496062992126" footer="0.31496062992126"/>
  <pageSetup paperSize="9" scale="74" fitToHeight="0" orientation="portrait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1006D-ECC3-4C68-99D1-397977AE14FF}">
  <sheetPr codeName="Sheet126">
    <tabColor rgb="FFFFC000"/>
    <pageSetUpPr fitToPage="1"/>
  </sheetPr>
  <dimension ref="B4:O46"/>
  <sheetViews>
    <sheetView topLeftCell="A5" zoomScaleNormal="100" workbookViewId="0">
      <selection activeCell="B5" sqref="B5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493</v>
      </c>
      <c r="J5" s="17" t="s">
        <v>26</v>
      </c>
      <c r="K5" s="455">
        <v>201909355</v>
      </c>
      <c r="L5" s="456"/>
    </row>
    <row r="6" spans="2:15" ht="20.149999999999999" customHeight="1" x14ac:dyDescent="0.45">
      <c r="B6" s="480"/>
      <c r="C6" s="481"/>
      <c r="D6" s="482"/>
      <c r="E6" s="61"/>
      <c r="F6" s="444">
        <f>VLOOKUP(H5,'Delivery Location'!A$4:N$423,2,0)</f>
        <v>0</v>
      </c>
      <c r="G6" s="445"/>
      <c r="H6" s="446"/>
      <c r="J6" s="18" t="s">
        <v>9</v>
      </c>
      <c r="K6" s="502">
        <v>43726</v>
      </c>
      <c r="L6" s="466"/>
    </row>
    <row r="7" spans="2:15" ht="20.149999999999999" customHeight="1" x14ac:dyDescent="0.45">
      <c r="B7" s="462" t="s">
        <v>337</v>
      </c>
      <c r="C7" s="463"/>
      <c r="D7" s="464"/>
      <c r="E7" s="61"/>
      <c r="F7" s="447"/>
      <c r="G7" s="448"/>
      <c r="H7" s="449"/>
      <c r="J7" s="18" t="s">
        <v>81</v>
      </c>
      <c r="K7" s="465" t="s">
        <v>312</v>
      </c>
      <c r="L7" s="466"/>
    </row>
    <row r="8" spans="2:15" ht="20.149999999999999" customHeight="1" x14ac:dyDescent="0.45">
      <c r="B8" s="462" t="s">
        <v>338</v>
      </c>
      <c r="C8" s="463"/>
      <c r="D8" s="464"/>
      <c r="E8" s="61"/>
      <c r="F8" s="447"/>
      <c r="G8" s="448"/>
      <c r="H8" s="449"/>
      <c r="J8" s="18" t="s">
        <v>10</v>
      </c>
      <c r="K8" s="465" t="s">
        <v>12</v>
      </c>
      <c r="L8" s="466"/>
    </row>
    <row r="9" spans="2:15" ht="20.149999999999999" customHeight="1" x14ac:dyDescent="0.45">
      <c r="B9" s="462" t="s">
        <v>336</v>
      </c>
      <c r="C9" s="463"/>
      <c r="D9" s="464"/>
      <c r="E9" s="61"/>
      <c r="F9" s="447"/>
      <c r="G9" s="448"/>
      <c r="H9" s="449"/>
      <c r="J9" s="18" t="s">
        <v>27</v>
      </c>
      <c r="K9" s="465" t="s">
        <v>14</v>
      </c>
      <c r="L9" s="466"/>
    </row>
    <row r="10" spans="2:15" ht="18" customHeight="1" thickBot="1" x14ac:dyDescent="0.5">
      <c r="B10" s="63"/>
      <c r="C10" s="64"/>
      <c r="D10" s="59"/>
      <c r="E10" s="14"/>
      <c r="F10" s="450"/>
      <c r="G10" s="451"/>
      <c r="H10" s="452"/>
      <c r="J10" s="19" t="s">
        <v>11</v>
      </c>
      <c r="K10" s="483"/>
      <c r="L10" s="484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70" t="s">
        <v>4</v>
      </c>
      <c r="E12" s="471"/>
      <c r="F12" s="472"/>
      <c r="G12" s="58" t="s">
        <v>335</v>
      </c>
      <c r="H12" s="42" t="s">
        <v>28</v>
      </c>
      <c r="I12" s="470" t="s">
        <v>57</v>
      </c>
      <c r="J12" s="472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259</v>
      </c>
      <c r="D13" s="511" t="e">
        <f>VLOOKUP(C13,'Sales Master'!B$3:D$316,2,0)</f>
        <v>#N/A</v>
      </c>
      <c r="E13" s="511"/>
      <c r="F13" s="511"/>
      <c r="G13" s="45">
        <v>4</v>
      </c>
      <c r="H13" s="65" t="e">
        <f>VLOOKUP(C13,'Sales Master'!B$3:F$936,5,0)</f>
        <v>#N/A</v>
      </c>
      <c r="I13" s="431" t="e">
        <f>VLOOKUP(C13,'Sales Master'!B$3:E$936,4,0)</f>
        <v>#N/A</v>
      </c>
      <c r="J13" s="431"/>
      <c r="K13" s="22" t="e">
        <f>VLOOKUP(C13,'Sales Master'!B$8:BQ$936,68,0)</f>
        <v>#N/A</v>
      </c>
      <c r="L13" s="23" t="e">
        <f>K13*G13</f>
        <v>#N/A</v>
      </c>
    </row>
    <row r="14" spans="2:15" ht="20.149999999999999" customHeight="1" x14ac:dyDescent="0.45">
      <c r="B14" s="21"/>
      <c r="C14" s="45" t="s">
        <v>260</v>
      </c>
      <c r="D14" s="503" t="str">
        <f>VLOOKUP(C14,'[2]Sales Master'!B$3:D$224,2,)</f>
        <v>Durian Puree 榴莲</v>
      </c>
      <c r="E14" s="503"/>
      <c r="F14" s="503"/>
      <c r="G14" s="45">
        <v>4</v>
      </c>
      <c r="H14" s="65" t="e">
        <f>VLOOKUP(C14,'Sales Master'!B$3:F$936,5,0)</f>
        <v>#N/A</v>
      </c>
      <c r="I14" s="431" t="e">
        <f>VLOOKUP(C14,'Sales Master'!B$3:E$936,4,0)</f>
        <v>#N/A</v>
      </c>
      <c r="J14" s="431"/>
      <c r="K14" s="22" t="e">
        <f>VLOOKUP(C14,'Sales Master'!B$8:BQ$936,68,0)</f>
        <v>#N/A</v>
      </c>
      <c r="L14" s="23" t="e">
        <f>K14*G14</f>
        <v>#N/A</v>
      </c>
    </row>
    <row r="15" spans="2:15" ht="20.149999999999999" customHeight="1" x14ac:dyDescent="0.45">
      <c r="B15" s="21"/>
      <c r="C15" s="45" t="s">
        <v>261</v>
      </c>
      <c r="D15" s="503" t="str">
        <f>VLOOKUP(C15,'[2]Sales Master'!B$3:D$224,2,)</f>
        <v>Mango Puree芒果</v>
      </c>
      <c r="E15" s="503"/>
      <c r="F15" s="503"/>
      <c r="G15" s="45">
        <v>4</v>
      </c>
      <c r="H15" s="65" t="e">
        <f>VLOOKUP(C15,'Sales Master'!B$3:F$936,5,0)</f>
        <v>#N/A</v>
      </c>
      <c r="I15" s="431" t="e">
        <f>VLOOKUP(C15,'Sales Master'!B$3:E$936,4,0)</f>
        <v>#N/A</v>
      </c>
      <c r="J15" s="431"/>
      <c r="K15" s="22" t="e">
        <f>VLOOKUP(C15,'Sales Master'!B$8:BQ$936,68,0)</f>
        <v>#N/A</v>
      </c>
      <c r="L15" s="23" t="e">
        <f>K15*G15</f>
        <v>#N/A</v>
      </c>
    </row>
    <row r="16" spans="2:15" ht="20.149999999999999" customHeight="1" x14ac:dyDescent="0.45">
      <c r="B16" s="21"/>
      <c r="C16" s="45" t="s">
        <v>263</v>
      </c>
      <c r="D16" s="503" t="str">
        <f>VLOOKUP(C16,'[2]Sales Master'!B$3:D$224,2,)</f>
        <v>Avocodo 鳄梨酱</v>
      </c>
      <c r="E16" s="503"/>
      <c r="F16" s="503"/>
      <c r="G16" s="45">
        <v>4</v>
      </c>
      <c r="H16" s="65" t="str">
        <f>VLOOKUP(C16,'[2]Sales Master'!$B$3:$E$319,4,0)</f>
        <v>-</v>
      </c>
      <c r="I16" s="431" t="str">
        <f>VLOOKUP(C16,'[2]Sales Master'!$B$3:F$319,5,0)</f>
        <v>盒</v>
      </c>
      <c r="J16" s="431"/>
      <c r="K16" s="22" t="e">
        <f>VLOOKUP(C16,'Sales Master'!B$8:BQ$936,68,0)</f>
        <v>#N/A</v>
      </c>
      <c r="L16" s="23" t="e">
        <f>K16*G16</f>
        <v>#N/A</v>
      </c>
    </row>
    <row r="17" spans="2:12" ht="20.149999999999999" customHeight="1" x14ac:dyDescent="0.45">
      <c r="B17" s="21"/>
      <c r="C17" s="45"/>
      <c r="D17" s="503"/>
      <c r="E17" s="503"/>
      <c r="F17" s="503"/>
      <c r="G17" s="45"/>
      <c r="H17" s="65"/>
      <c r="I17" s="431"/>
      <c r="J17" s="431"/>
      <c r="K17" s="22"/>
      <c r="L17" s="23"/>
    </row>
    <row r="18" spans="2:12" ht="20.149999999999999" customHeight="1" x14ac:dyDescent="0.45">
      <c r="B18" s="21"/>
      <c r="C18" s="45"/>
      <c r="D18" s="503"/>
      <c r="E18" s="503"/>
      <c r="F18" s="503"/>
      <c r="G18" s="45"/>
      <c r="H18" s="65"/>
      <c r="I18" s="431"/>
      <c r="J18" s="431"/>
      <c r="K18" s="22"/>
      <c r="L18" s="23"/>
    </row>
    <row r="19" spans="2:12" ht="20.149999999999999" customHeight="1" x14ac:dyDescent="0.45">
      <c r="B19" s="21"/>
      <c r="C19" s="45"/>
      <c r="D19" s="503"/>
      <c r="E19" s="503"/>
      <c r="F19" s="503"/>
      <c r="G19" s="45"/>
      <c r="H19" s="65"/>
      <c r="I19" s="431"/>
      <c r="J19" s="431"/>
      <c r="K19" s="22"/>
      <c r="L19" s="23"/>
    </row>
    <row r="20" spans="2:12" ht="20.149999999999999" customHeight="1" x14ac:dyDescent="0.45">
      <c r="B20" s="21"/>
      <c r="C20" s="45"/>
      <c r="D20" s="503"/>
      <c r="E20" s="503"/>
      <c r="F20" s="503"/>
      <c r="G20" s="45"/>
      <c r="H20" s="65"/>
      <c r="I20" s="431"/>
      <c r="J20" s="431"/>
      <c r="K20" s="22"/>
      <c r="L20" s="23"/>
    </row>
    <row r="21" spans="2:12" ht="20.149999999999999" customHeight="1" x14ac:dyDescent="0.45">
      <c r="B21" s="21"/>
      <c r="C21" s="45"/>
      <c r="D21" s="503"/>
      <c r="E21" s="503"/>
      <c r="F21" s="503"/>
      <c r="G21" s="45"/>
      <c r="H21" s="65"/>
      <c r="I21" s="431"/>
      <c r="J21" s="431"/>
      <c r="K21" s="22"/>
      <c r="L21" s="23"/>
    </row>
    <row r="22" spans="2:12" ht="20.149999999999999" customHeight="1" x14ac:dyDescent="0.45">
      <c r="B22" s="21"/>
      <c r="C22" s="45"/>
      <c r="D22" s="503"/>
      <c r="E22" s="503"/>
      <c r="F22" s="503"/>
      <c r="G22" s="45"/>
      <c r="H22" s="65"/>
      <c r="I22" s="431"/>
      <c r="J22" s="431"/>
      <c r="K22" s="22"/>
      <c r="L22" s="23"/>
    </row>
    <row r="23" spans="2:12" ht="20.149999999999999" customHeight="1" x14ac:dyDescent="0.45">
      <c r="B23" s="21"/>
      <c r="C23" s="45"/>
      <c r="D23" s="503"/>
      <c r="E23" s="503"/>
      <c r="F23" s="503"/>
      <c r="G23" s="45"/>
      <c r="H23" s="65"/>
      <c r="I23" s="431"/>
      <c r="J23" s="431"/>
      <c r="K23" s="22"/>
      <c r="L23" s="23"/>
    </row>
    <row r="24" spans="2:12" ht="20.149999999999999" customHeight="1" x14ac:dyDescent="0.45">
      <c r="B24" s="21"/>
      <c r="C24" s="45"/>
      <c r="D24" s="503"/>
      <c r="E24" s="503"/>
      <c r="F24" s="503"/>
      <c r="G24" s="45"/>
      <c r="H24" s="65"/>
      <c r="I24" s="431"/>
      <c r="J24" s="431"/>
      <c r="K24" s="22"/>
      <c r="L24" s="23"/>
    </row>
    <row r="25" spans="2:12" ht="20.149999999999999" customHeight="1" x14ac:dyDescent="0.45">
      <c r="B25" s="21"/>
      <c r="C25" s="45"/>
      <c r="D25" s="503"/>
      <c r="E25" s="503"/>
      <c r="F25" s="503"/>
      <c r="G25" s="45"/>
      <c r="H25" s="65"/>
      <c r="I25" s="431"/>
      <c r="J25" s="431"/>
      <c r="K25" s="22"/>
      <c r="L25" s="23"/>
    </row>
    <row r="26" spans="2:12" ht="20.149999999999999" customHeight="1" x14ac:dyDescent="0.45">
      <c r="B26" s="21"/>
      <c r="C26" s="45"/>
      <c r="D26" s="503"/>
      <c r="E26" s="503"/>
      <c r="F26" s="503"/>
      <c r="G26" s="45"/>
      <c r="H26" s="65"/>
      <c r="I26" s="431"/>
      <c r="J26" s="431"/>
      <c r="K26" s="22"/>
      <c r="L26" s="23"/>
    </row>
    <row r="27" spans="2:12" ht="20.149999999999999" customHeight="1" x14ac:dyDescent="0.45">
      <c r="B27" s="21"/>
      <c r="C27" s="45"/>
      <c r="D27" s="503"/>
      <c r="E27" s="503"/>
      <c r="F27" s="503"/>
      <c r="G27" s="45"/>
      <c r="H27" s="65"/>
      <c r="I27" s="431"/>
      <c r="J27" s="431"/>
      <c r="K27" s="22"/>
      <c r="L27" s="23"/>
    </row>
    <row r="28" spans="2:12" ht="20.149999999999999" customHeight="1" x14ac:dyDescent="0.45">
      <c r="B28" s="21"/>
      <c r="C28" s="45"/>
      <c r="D28" s="503"/>
      <c r="E28" s="503"/>
      <c r="F28" s="503"/>
      <c r="G28" s="45"/>
      <c r="H28" s="65"/>
      <c r="I28" s="65"/>
      <c r="J28" s="65"/>
      <c r="K28" s="22"/>
      <c r="L28" s="23"/>
    </row>
    <row r="29" spans="2:12" ht="20.149999999999999" customHeight="1" x14ac:dyDescent="0.45">
      <c r="B29" s="21"/>
      <c r="C29" s="45"/>
      <c r="D29" s="503"/>
      <c r="E29" s="503"/>
      <c r="F29" s="503"/>
      <c r="G29" s="45"/>
      <c r="H29" s="65"/>
      <c r="I29" s="65"/>
      <c r="J29" s="65"/>
      <c r="K29" s="22"/>
      <c r="L29" s="23"/>
    </row>
    <row r="30" spans="2:12" ht="20.149999999999999" customHeight="1" x14ac:dyDescent="0.45">
      <c r="B30" s="21"/>
      <c r="C30" s="45"/>
      <c r="D30" s="503"/>
      <c r="E30" s="503"/>
      <c r="F30" s="503"/>
      <c r="G30" s="45"/>
      <c r="H30" s="65"/>
      <c r="I30" s="65"/>
      <c r="J30" s="65"/>
      <c r="K30" s="22"/>
      <c r="L30" s="23"/>
    </row>
    <row r="31" spans="2:12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12" ht="20.149999999999999" customHeight="1" thickBot="1" x14ac:dyDescent="0.5">
      <c r="B32" s="24"/>
      <c r="C32" s="25"/>
      <c r="D32" s="473"/>
      <c r="E32" s="473"/>
      <c r="F32" s="473"/>
      <c r="G32" s="25"/>
      <c r="H32" s="66"/>
      <c r="I32" s="66"/>
      <c r="J32" s="66"/>
      <c r="K32" s="26"/>
      <c r="L32" s="27"/>
    </row>
    <row r="33" spans="2:12" ht="20.149999999999999" customHeight="1" thickBot="1" x14ac:dyDescent="0.5">
      <c r="B33" s="28"/>
      <c r="L33" s="29"/>
    </row>
    <row r="34" spans="2:12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 t="e">
        <f>SUM(L13:L32)</f>
        <v>#N/A</v>
      </c>
    </row>
    <row r="35" spans="2:12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 t="e">
        <f>L37</f>
        <v>#N/A</v>
      </c>
    </row>
    <row r="36" spans="2:12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 t="e">
        <f>L34/107*100</f>
        <v>#N/A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7.0000000000000007E-2</v>
      </c>
      <c r="L37" s="44" t="e">
        <f>L36*K37</f>
        <v>#N/A</v>
      </c>
    </row>
    <row r="38" spans="2:12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 t="e">
        <f>L36+L37</f>
        <v>#N/A</v>
      </c>
    </row>
    <row r="39" spans="2:12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2" ht="20.149999999999999" customHeight="1" x14ac:dyDescent="0.45">
      <c r="B40" s="183" t="s">
        <v>749</v>
      </c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34"/>
      <c r="C44" s="35"/>
      <c r="D44" s="35"/>
      <c r="J44" s="35"/>
      <c r="K44" s="35"/>
      <c r="L44" s="36"/>
    </row>
    <row r="45" spans="2:12" ht="20.149999999999999" customHeight="1" x14ac:dyDescent="0.45">
      <c r="B45" s="28" t="s">
        <v>24</v>
      </c>
      <c r="J45" s="60" t="s">
        <v>25</v>
      </c>
      <c r="L45" s="29"/>
    </row>
    <row r="46" spans="2:12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51">
    <mergeCell ref="D12:F12"/>
    <mergeCell ref="I12:J12"/>
    <mergeCell ref="D13:F13"/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K10:L10"/>
    <mergeCell ref="I13:J13"/>
    <mergeCell ref="D15:F15"/>
    <mergeCell ref="I15:J15"/>
    <mergeCell ref="D16:F16"/>
    <mergeCell ref="I16:J16"/>
    <mergeCell ref="D14:F14"/>
    <mergeCell ref="I14:J14"/>
    <mergeCell ref="D17:F17"/>
    <mergeCell ref="I17:J17"/>
    <mergeCell ref="D18:F18"/>
    <mergeCell ref="I18:J18"/>
    <mergeCell ref="D19:F19"/>
    <mergeCell ref="I19:J19"/>
    <mergeCell ref="D29:F29"/>
    <mergeCell ref="D30:F30"/>
    <mergeCell ref="D20:F20"/>
    <mergeCell ref="I20:J20"/>
    <mergeCell ref="D21:F21"/>
    <mergeCell ref="I21:J21"/>
    <mergeCell ref="D22:F22"/>
    <mergeCell ref="I22:J22"/>
    <mergeCell ref="D32:F32"/>
    <mergeCell ref="J34:K34"/>
    <mergeCell ref="J36:K36"/>
    <mergeCell ref="J38:K38"/>
    <mergeCell ref="D23:F23"/>
    <mergeCell ref="I23:J23"/>
    <mergeCell ref="D31:F31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</mergeCells>
  <pageMargins left="0.70866141732283472" right="0.31496062992125984" top="2.1259842519685042" bottom="0" header="0.31496062992125984" footer="0.31496062992125984"/>
  <pageSetup paperSize="9" scale="73" fitToHeight="0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445CE-13F0-418F-97F8-6194E08586C1}">
  <sheetPr codeName="Sheet127">
    <tabColor rgb="FFFFFF00"/>
    <pageSetUpPr fitToPage="1"/>
  </sheetPr>
  <dimension ref="B4:O47"/>
  <sheetViews>
    <sheetView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21" customHeight="1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496</v>
      </c>
      <c r="J5" s="17" t="s">
        <v>26</v>
      </c>
      <c r="K5" s="455">
        <v>202003016</v>
      </c>
      <c r="L5" s="456"/>
    </row>
    <row r="6" spans="2:15" ht="20.149999999999999" customHeight="1" x14ac:dyDescent="0.45">
      <c r="B6" s="480"/>
      <c r="C6" s="481"/>
      <c r="D6" s="482"/>
      <c r="E6" s="61"/>
      <c r="F6" s="444">
        <f>VLOOKUP(H5,'Delivery Location'!A$4:N$423,2,0)</f>
        <v>0</v>
      </c>
      <c r="G6" s="445"/>
      <c r="H6" s="446"/>
      <c r="J6" s="18" t="s">
        <v>9</v>
      </c>
      <c r="K6" s="502">
        <v>43864</v>
      </c>
      <c r="L6" s="466"/>
    </row>
    <row r="7" spans="2:15" ht="20.149999999999999" customHeight="1" x14ac:dyDescent="0.45">
      <c r="B7" s="462"/>
      <c r="C7" s="463"/>
      <c r="D7" s="464"/>
      <c r="E7" s="61"/>
      <c r="F7" s="447"/>
      <c r="G7" s="448"/>
      <c r="H7" s="449"/>
      <c r="J7" s="18" t="s">
        <v>81</v>
      </c>
      <c r="K7" s="465" t="s">
        <v>312</v>
      </c>
      <c r="L7" s="466"/>
    </row>
    <row r="8" spans="2:15" ht="20.149999999999999" customHeight="1" x14ac:dyDescent="0.45">
      <c r="B8" s="462"/>
      <c r="C8" s="463"/>
      <c r="D8" s="464"/>
      <c r="E8" s="61"/>
      <c r="F8" s="447"/>
      <c r="G8" s="448"/>
      <c r="H8" s="449"/>
      <c r="J8" s="18" t="s">
        <v>10</v>
      </c>
      <c r="K8" s="465" t="s">
        <v>83</v>
      </c>
      <c r="L8" s="466"/>
    </row>
    <row r="9" spans="2:15" ht="20.149999999999999" customHeight="1" x14ac:dyDescent="0.45">
      <c r="B9" s="462"/>
      <c r="C9" s="463"/>
      <c r="D9" s="464"/>
      <c r="E9" s="61"/>
      <c r="F9" s="447"/>
      <c r="G9" s="448"/>
      <c r="H9" s="449"/>
      <c r="J9" s="18" t="s">
        <v>27</v>
      </c>
      <c r="K9" s="465" t="s">
        <v>14</v>
      </c>
      <c r="L9" s="466"/>
    </row>
    <row r="10" spans="2:15" ht="18" customHeight="1" thickBot="1" x14ac:dyDescent="0.5">
      <c r="B10" s="63"/>
      <c r="C10" s="64"/>
      <c r="D10" s="59"/>
      <c r="E10" s="14"/>
      <c r="F10" s="450"/>
      <c r="G10" s="451"/>
      <c r="H10" s="452"/>
      <c r="J10" s="19" t="s">
        <v>11</v>
      </c>
      <c r="K10" s="483"/>
      <c r="L10" s="484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70" t="s">
        <v>4</v>
      </c>
      <c r="E12" s="471"/>
      <c r="F12" s="472"/>
      <c r="G12" s="58" t="s">
        <v>335</v>
      </c>
      <c r="H12" s="42" t="s">
        <v>28</v>
      </c>
      <c r="I12" s="470" t="s">
        <v>57</v>
      </c>
      <c r="J12" s="472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278</v>
      </c>
      <c r="D13" s="430" t="e">
        <f>VLOOKUP(C13,'Sales Master'!B$3:D$316,2,0)</f>
        <v>#N/A</v>
      </c>
      <c r="E13" s="430"/>
      <c r="F13" s="430"/>
      <c r="G13" s="97">
        <v>6</v>
      </c>
      <c r="H13" s="65" t="e">
        <f>VLOOKUP(C13,'Sales Master'!B$3:F$936,5,0)</f>
        <v>#N/A</v>
      </c>
      <c r="I13" s="431" t="e">
        <f>VLOOKUP(C13,'Sales Master'!B$3:E$936,4,0)</f>
        <v>#N/A</v>
      </c>
      <c r="J13" s="431"/>
      <c r="K13" s="22" t="e">
        <f>VLOOKUP(C13,'Sales Master'!B$3:BP$536,67,0)</f>
        <v>#N/A</v>
      </c>
      <c r="L13" s="23" t="e">
        <f>K13*G13</f>
        <v>#N/A</v>
      </c>
    </row>
    <row r="14" spans="2:15" ht="20.149999999999999" customHeight="1" x14ac:dyDescent="0.45">
      <c r="B14" s="21"/>
      <c r="C14" s="45" t="s">
        <v>264</v>
      </c>
      <c r="D14" s="430" t="e">
        <f>VLOOKUP(C14,'Sales Master'!B$3:D$316,2,0)</f>
        <v>#N/A</v>
      </c>
      <c r="E14" s="430"/>
      <c r="F14" s="430"/>
      <c r="G14" s="97">
        <v>2</v>
      </c>
      <c r="H14" s="65" t="e">
        <f>VLOOKUP(C14,'Sales Master'!B$3:F$936,5,0)</f>
        <v>#N/A</v>
      </c>
      <c r="I14" s="431" t="e">
        <f>VLOOKUP(C14,'Sales Master'!B$3:E$936,4,0)</f>
        <v>#N/A</v>
      </c>
      <c r="J14" s="431"/>
      <c r="K14" s="22" t="e">
        <f>VLOOKUP(C14,'Sales Master'!B$3:BP$536,67,0)</f>
        <v>#N/A</v>
      </c>
      <c r="L14" s="23" t="e">
        <f>K14*G14</f>
        <v>#N/A</v>
      </c>
    </row>
    <row r="15" spans="2:15" ht="20.149999999999999" customHeight="1" x14ac:dyDescent="0.45">
      <c r="B15" s="21"/>
      <c r="C15" s="45" t="s">
        <v>268</v>
      </c>
      <c r="D15" s="430" t="e">
        <f>VLOOKUP(C15,'Sales Master'!B$3:D$316,2,0)</f>
        <v>#N/A</v>
      </c>
      <c r="E15" s="430"/>
      <c r="F15" s="430"/>
      <c r="G15" s="97">
        <v>1</v>
      </c>
      <c r="H15" s="65" t="e">
        <f>VLOOKUP(C15,'Sales Master'!B$3:F$936,5,0)</f>
        <v>#N/A</v>
      </c>
      <c r="I15" s="431" t="e">
        <f>VLOOKUP(C15,'Sales Master'!B$3:E$936,4,0)</f>
        <v>#N/A</v>
      </c>
      <c r="J15" s="431"/>
      <c r="K15" s="22" t="e">
        <f>VLOOKUP(C15,'Sales Master'!B$3:BP$536,67,0)</f>
        <v>#N/A</v>
      </c>
      <c r="L15" s="23" t="e">
        <f>K15*G15</f>
        <v>#N/A</v>
      </c>
    </row>
    <row r="16" spans="2:15" ht="20.149999999999999" customHeight="1" x14ac:dyDescent="0.45">
      <c r="B16" s="21"/>
      <c r="C16" s="45" t="s">
        <v>259</v>
      </c>
      <c r="D16" s="430" t="e">
        <f>VLOOKUP(C16,'Sales Master'!B$3:D$316,2,0)</f>
        <v>#N/A</v>
      </c>
      <c r="E16" s="430"/>
      <c r="F16" s="430"/>
      <c r="G16" s="97">
        <v>4</v>
      </c>
      <c r="H16" s="65" t="e">
        <f>VLOOKUP(C16,'Sales Master'!B$3:F$936,5,0)</f>
        <v>#N/A</v>
      </c>
      <c r="I16" s="431" t="e">
        <f>VLOOKUP(C16,'Sales Master'!B$3:E$936,4,0)</f>
        <v>#N/A</v>
      </c>
      <c r="J16" s="431"/>
      <c r="K16" s="22" t="e">
        <f>VLOOKUP(C16,'Sales Master'!B$3:BP$536,67,0)</f>
        <v>#N/A</v>
      </c>
      <c r="L16" s="23" t="e">
        <f>K16*G16</f>
        <v>#N/A</v>
      </c>
    </row>
    <row r="17" spans="2:14" ht="20.149999999999999" customHeight="1" x14ac:dyDescent="0.45">
      <c r="B17" s="21"/>
      <c r="C17" s="45"/>
      <c r="D17" s="430"/>
      <c r="E17" s="430"/>
      <c r="F17" s="430"/>
      <c r="G17" s="97"/>
      <c r="H17" s="65"/>
      <c r="I17" s="431"/>
      <c r="J17" s="431"/>
      <c r="K17" s="22"/>
      <c r="L17" s="23"/>
      <c r="N17" s="94"/>
    </row>
    <row r="18" spans="2:14" ht="20.149999999999999" customHeight="1" x14ac:dyDescent="0.45">
      <c r="B18" s="21"/>
      <c r="C18" s="45"/>
      <c r="D18" s="430"/>
      <c r="E18" s="430"/>
      <c r="F18" s="430"/>
      <c r="G18" s="97"/>
      <c r="H18" s="65"/>
      <c r="I18" s="431"/>
      <c r="J18" s="431"/>
      <c r="K18" s="22"/>
      <c r="L18" s="23"/>
    </row>
    <row r="19" spans="2:14" ht="20.149999999999999" customHeight="1" x14ac:dyDescent="0.45">
      <c r="B19" s="21"/>
      <c r="C19" s="45"/>
      <c r="D19" s="430"/>
      <c r="E19" s="430"/>
      <c r="F19" s="430"/>
      <c r="G19" s="97"/>
      <c r="H19" s="65"/>
      <c r="I19" s="431"/>
      <c r="J19" s="431"/>
      <c r="K19" s="22"/>
      <c r="L19" s="23"/>
    </row>
    <row r="20" spans="2:14" ht="20.149999999999999" customHeight="1" x14ac:dyDescent="0.45">
      <c r="B20" s="21"/>
      <c r="C20" s="45"/>
      <c r="D20" s="430"/>
      <c r="E20" s="430"/>
      <c r="F20" s="430"/>
      <c r="G20" s="97"/>
      <c r="H20" s="65"/>
      <c r="I20" s="431"/>
      <c r="J20" s="431"/>
      <c r="K20" s="22"/>
      <c r="L20" s="23"/>
    </row>
    <row r="21" spans="2:14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23"/>
    </row>
    <row r="22" spans="2:14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23"/>
    </row>
    <row r="23" spans="2:14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23"/>
    </row>
    <row r="24" spans="2:14" ht="20.149999999999999" customHeight="1" x14ac:dyDescent="0.45">
      <c r="B24" s="21"/>
      <c r="C24" s="45"/>
      <c r="D24" s="430"/>
      <c r="E24" s="430"/>
      <c r="F24" s="430"/>
      <c r="G24" s="97"/>
      <c r="H24" s="65"/>
      <c r="I24" s="431"/>
      <c r="J24" s="431"/>
      <c r="K24" s="22"/>
      <c r="L24" s="23"/>
    </row>
    <row r="25" spans="2:14" ht="20.149999999999999" customHeight="1" x14ac:dyDescent="0.45">
      <c r="B25" s="21"/>
      <c r="C25" s="45"/>
      <c r="D25" s="430"/>
      <c r="E25" s="430"/>
      <c r="F25" s="430"/>
      <c r="G25" s="97"/>
      <c r="H25" s="65"/>
      <c r="I25" s="431"/>
      <c r="J25" s="431"/>
      <c r="K25" s="22"/>
      <c r="L25" s="23"/>
    </row>
    <row r="26" spans="2:14" ht="20.149999999999999" customHeight="1" x14ac:dyDescent="0.45">
      <c r="B26" s="21"/>
      <c r="C26" s="45"/>
      <c r="D26" s="430"/>
      <c r="E26" s="430"/>
      <c r="F26" s="430"/>
      <c r="G26" s="97"/>
      <c r="H26" s="65"/>
      <c r="I26" s="431"/>
      <c r="J26" s="431"/>
      <c r="K26" s="22"/>
      <c r="L26" s="23"/>
    </row>
    <row r="27" spans="2:14" ht="20.149999999999999" customHeight="1" x14ac:dyDescent="0.45">
      <c r="B27" s="21"/>
      <c r="C27" s="45"/>
      <c r="D27" s="430"/>
      <c r="E27" s="430"/>
      <c r="F27" s="430"/>
      <c r="G27" s="97"/>
      <c r="H27" s="65"/>
      <c r="I27" s="431"/>
      <c r="J27" s="431"/>
      <c r="K27" s="22"/>
      <c r="L27" s="23"/>
    </row>
    <row r="28" spans="2:14" ht="20.149999999999999" customHeight="1" x14ac:dyDescent="0.45">
      <c r="B28" s="21"/>
      <c r="C28" s="45"/>
      <c r="D28" s="430"/>
      <c r="E28" s="430"/>
      <c r="F28" s="430"/>
      <c r="G28" s="97"/>
      <c r="H28" s="65"/>
      <c r="I28" s="431"/>
      <c r="J28" s="431"/>
      <c r="K28" s="22"/>
      <c r="L28" s="23"/>
    </row>
    <row r="29" spans="2:14" ht="20.149999999999999" customHeight="1" x14ac:dyDescent="0.45">
      <c r="B29" s="21"/>
      <c r="C29" s="45"/>
      <c r="D29" s="430"/>
      <c r="E29" s="430"/>
      <c r="F29" s="430"/>
      <c r="G29" s="97"/>
      <c r="H29" s="65"/>
      <c r="I29" s="431"/>
      <c r="J29" s="431"/>
      <c r="K29" s="22"/>
      <c r="L29" s="23"/>
    </row>
    <row r="30" spans="2:14" ht="20.149999999999999" customHeight="1" x14ac:dyDescent="0.45">
      <c r="B30" s="21"/>
      <c r="C30" s="45"/>
      <c r="D30" s="430"/>
      <c r="E30" s="430"/>
      <c r="F30" s="430"/>
      <c r="G30" s="97"/>
      <c r="H30" s="65"/>
      <c r="I30" s="431"/>
      <c r="J30" s="431"/>
      <c r="K30" s="22"/>
      <c r="L30" s="23"/>
    </row>
    <row r="31" spans="2:14" ht="20.149999999999999" customHeight="1" x14ac:dyDescent="0.45">
      <c r="B31" s="21"/>
      <c r="C31" s="45"/>
      <c r="D31" s="430"/>
      <c r="E31" s="430"/>
      <c r="F31" s="430"/>
      <c r="G31" s="97"/>
      <c r="H31" s="65"/>
      <c r="I31" s="431"/>
      <c r="J31" s="431"/>
      <c r="K31" s="22"/>
      <c r="L31" s="23"/>
    </row>
    <row r="32" spans="2:14" ht="20.149999999999999" customHeight="1" x14ac:dyDescent="0.45">
      <c r="B32" s="21"/>
      <c r="C32" s="45"/>
      <c r="D32" s="430"/>
      <c r="E32" s="430"/>
      <c r="F32" s="430"/>
      <c r="G32" s="97"/>
      <c r="H32" s="65"/>
      <c r="I32" s="431"/>
      <c r="J32" s="431"/>
      <c r="K32" s="22"/>
      <c r="L32" s="23"/>
    </row>
    <row r="33" spans="2:12" ht="20.149999999999999" customHeight="1" x14ac:dyDescent="0.45">
      <c r="B33" s="21"/>
      <c r="C33" s="45"/>
      <c r="D33" s="430"/>
      <c r="E33" s="430"/>
      <c r="F33" s="430"/>
      <c r="G33" s="97"/>
      <c r="H33" s="65"/>
      <c r="I33" s="431"/>
      <c r="J33" s="431"/>
      <c r="K33" s="22"/>
      <c r="L33" s="23"/>
    </row>
    <row r="34" spans="2:12" ht="20.149999999999999" customHeight="1" x14ac:dyDescent="0.45">
      <c r="B34" s="21"/>
      <c r="C34" s="45"/>
      <c r="D34" s="430"/>
      <c r="E34" s="430"/>
      <c r="F34" s="430"/>
      <c r="G34" s="45"/>
      <c r="H34" s="65"/>
      <c r="I34" s="431"/>
      <c r="J34" s="431"/>
      <c r="K34" s="22"/>
      <c r="L34" s="23"/>
    </row>
    <row r="35" spans="2:12" ht="20.149999999999999" customHeight="1" thickBot="1" x14ac:dyDescent="0.5">
      <c r="B35" s="24"/>
      <c r="C35" s="25"/>
      <c r="D35" s="473"/>
      <c r="E35" s="473"/>
      <c r="F35" s="473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474" t="s">
        <v>13</v>
      </c>
      <c r="K37" s="475"/>
      <c r="L37" s="30" t="e">
        <f>SUM(L13:L36)</f>
        <v>#N/A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0" t="s">
        <v>553</v>
      </c>
      <c r="K38" s="113">
        <v>6.54E-2</v>
      </c>
      <c r="L38" s="32" t="e">
        <f>L40</f>
        <v>#N/A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476" t="s">
        <v>555</v>
      </c>
      <c r="K39" s="477"/>
      <c r="L39" s="114" t="e">
        <f>L37/107*100</f>
        <v>#N/A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1" t="s">
        <v>554</v>
      </c>
      <c r="K40" s="112">
        <v>7.0000000000000007E-2</v>
      </c>
      <c r="L40" s="44" t="e">
        <f>L39*K40</f>
        <v>#N/A</v>
      </c>
    </row>
    <row r="41" spans="2:12" ht="20.149999999999999" customHeight="1" thickBot="1" x14ac:dyDescent="0.5">
      <c r="B41" s="11" t="s">
        <v>748</v>
      </c>
      <c r="C41" s="10"/>
      <c r="D41" s="10"/>
      <c r="E41" s="10"/>
      <c r="F41" s="10"/>
      <c r="G41" s="10"/>
      <c r="H41" s="10"/>
      <c r="I41" s="10"/>
      <c r="J41" s="478" t="s">
        <v>21</v>
      </c>
      <c r="K41" s="479"/>
      <c r="L41" s="33" t="e">
        <f>L39+L40</f>
        <v>#N/A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83" t="s">
        <v>749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34"/>
      <c r="C45" s="35"/>
      <c r="D45" s="35"/>
      <c r="J45" s="35"/>
      <c r="K45" s="35"/>
      <c r="L45" s="36"/>
    </row>
    <row r="46" spans="2:12" ht="20.149999999999999" customHeight="1" x14ac:dyDescent="0.45">
      <c r="B46" s="28" t="s">
        <v>24</v>
      </c>
      <c r="J46" s="60" t="s">
        <v>25</v>
      </c>
      <c r="L46" s="29"/>
    </row>
    <row r="47" spans="2:12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61">
    <mergeCell ref="D32:F32"/>
    <mergeCell ref="I32:J32"/>
    <mergeCell ref="J39:K39"/>
    <mergeCell ref="J41:K41"/>
    <mergeCell ref="D33:F33"/>
    <mergeCell ref="I33:J33"/>
    <mergeCell ref="D34:F34"/>
    <mergeCell ref="I34:J34"/>
    <mergeCell ref="D35:F35"/>
    <mergeCell ref="J37:K37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15:F15"/>
    <mergeCell ref="I15:J15"/>
    <mergeCell ref="D16:F16"/>
    <mergeCell ref="I16:J16"/>
    <mergeCell ref="D14:F14"/>
    <mergeCell ref="I14:J14"/>
    <mergeCell ref="D12:F12"/>
    <mergeCell ref="I12:J12"/>
    <mergeCell ref="D13:F13"/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K10:L10"/>
    <mergeCell ref="I13:J13"/>
  </mergeCells>
  <printOptions horizontalCentered="1"/>
  <pageMargins left="0.70866141732283505" right="0.31496062992126" top="2.1653543307086598" bottom="0" header="0.31496062992126" footer="0.31496062992126"/>
  <pageSetup paperSize="9" scale="74" fitToHeight="0" orientation="portrait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90787-6984-4E3F-9D73-345B36265AAB}">
  <sheetPr codeName="Sheet128">
    <tabColor rgb="FFFF0000"/>
    <pageSetUpPr fitToPage="1"/>
  </sheetPr>
  <dimension ref="B4:O45"/>
  <sheetViews>
    <sheetView topLeftCell="A5" zoomScaleNormal="100" workbookViewId="0">
      <selection activeCell="K14" sqref="K1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4" spans="2:15" ht="19" thickBot="1" x14ac:dyDescent="0.5">
      <c r="B4" s="12"/>
    </row>
    <row r="5" spans="2:15" ht="18" customHeight="1" thickTop="1" thickBot="1" x14ac:dyDescent="0.5">
      <c r="B5" s="13" t="s">
        <v>7</v>
      </c>
      <c r="C5" s="13"/>
      <c r="D5" s="14"/>
      <c r="E5" s="14"/>
      <c r="F5" s="15" t="s">
        <v>8</v>
      </c>
      <c r="G5" s="16"/>
      <c r="H5" s="16" t="s">
        <v>508</v>
      </c>
      <c r="J5" s="17" t="s">
        <v>26</v>
      </c>
      <c r="K5" s="455">
        <v>201911328</v>
      </c>
      <c r="L5" s="456"/>
    </row>
    <row r="6" spans="2:15" ht="20.149999999999999" customHeight="1" x14ac:dyDescent="0.45">
      <c r="B6" s="480"/>
      <c r="C6" s="481"/>
      <c r="D6" s="482"/>
      <c r="E6" s="61"/>
      <c r="F6" s="444">
        <f>VLOOKUP(H5,'Delivery Location'!A$4:N$423,2,0)</f>
        <v>0</v>
      </c>
      <c r="G6" s="445"/>
      <c r="H6" s="446"/>
      <c r="J6" s="18" t="s">
        <v>9</v>
      </c>
      <c r="K6" s="502" t="s">
        <v>564</v>
      </c>
      <c r="L6" s="466"/>
    </row>
    <row r="7" spans="2:15" ht="20.149999999999999" customHeight="1" x14ac:dyDescent="0.45">
      <c r="B7" s="462"/>
      <c r="C7" s="463"/>
      <c r="D7" s="464"/>
      <c r="E7" s="61"/>
      <c r="F7" s="447"/>
      <c r="G7" s="448"/>
      <c r="H7" s="449"/>
      <c r="J7" s="18" t="s">
        <v>81</v>
      </c>
      <c r="K7" s="465" t="s">
        <v>312</v>
      </c>
      <c r="L7" s="466"/>
    </row>
    <row r="8" spans="2:15" ht="20.149999999999999" customHeight="1" x14ac:dyDescent="0.45">
      <c r="B8" s="462"/>
      <c r="C8" s="463"/>
      <c r="D8" s="464"/>
      <c r="E8" s="61"/>
      <c r="F8" s="447"/>
      <c r="G8" s="448"/>
      <c r="H8" s="449"/>
      <c r="J8" s="18" t="s">
        <v>10</v>
      </c>
      <c r="K8" s="465" t="s">
        <v>83</v>
      </c>
      <c r="L8" s="466"/>
    </row>
    <row r="9" spans="2:15" ht="20.149999999999999" customHeight="1" x14ac:dyDescent="0.45">
      <c r="B9" s="462"/>
      <c r="C9" s="463"/>
      <c r="D9" s="464"/>
      <c r="E9" s="61"/>
      <c r="F9" s="447"/>
      <c r="G9" s="448"/>
      <c r="H9" s="449"/>
      <c r="J9" s="18" t="s">
        <v>27</v>
      </c>
      <c r="K9" s="465" t="s">
        <v>14</v>
      </c>
      <c r="L9" s="466"/>
    </row>
    <row r="10" spans="2:15" ht="18" customHeight="1" thickBot="1" x14ac:dyDescent="0.5">
      <c r="B10" s="467"/>
      <c r="C10" s="468"/>
      <c r="D10" s="469"/>
      <c r="E10" s="14"/>
      <c r="F10" s="450"/>
      <c r="G10" s="451"/>
      <c r="H10" s="452"/>
      <c r="J10" s="19" t="s">
        <v>11</v>
      </c>
      <c r="K10" s="483"/>
      <c r="L10" s="484"/>
    </row>
    <row r="11" spans="2:15" ht="19" thickBot="1" x14ac:dyDescent="0.5">
      <c r="J11" s="45"/>
    </row>
    <row r="12" spans="2:15" ht="30" customHeight="1" thickBot="1" x14ac:dyDescent="0.5">
      <c r="B12" s="41" t="s">
        <v>2</v>
      </c>
      <c r="C12" s="42" t="s">
        <v>3</v>
      </c>
      <c r="D12" s="470" t="s">
        <v>4</v>
      </c>
      <c r="E12" s="471"/>
      <c r="F12" s="472"/>
      <c r="G12" s="58" t="s">
        <v>335</v>
      </c>
      <c r="H12" s="42" t="s">
        <v>28</v>
      </c>
      <c r="I12" s="470" t="s">
        <v>57</v>
      </c>
      <c r="J12" s="472"/>
      <c r="K12" s="42" t="s">
        <v>5</v>
      </c>
      <c r="L12" s="43" t="s">
        <v>6</v>
      </c>
      <c r="M12" s="20"/>
      <c r="N12" s="20"/>
      <c r="O12" s="20"/>
    </row>
    <row r="13" spans="2:15" ht="20.149999999999999" customHeight="1" x14ac:dyDescent="0.45">
      <c r="B13" s="21"/>
      <c r="C13" s="45" t="s">
        <v>342</v>
      </c>
      <c r="D13" s="430" t="e">
        <f>VLOOKUP(C13,'Sales Master'!B$3:D$316,2,0)</f>
        <v>#N/A</v>
      </c>
      <c r="E13" s="430"/>
      <c r="F13" s="430"/>
      <c r="G13" s="45">
        <v>2</v>
      </c>
      <c r="H13" s="65" t="e">
        <f>VLOOKUP(C13,'Sales Master'!B$3:F$936,5,0)</f>
        <v>#N/A</v>
      </c>
      <c r="I13" s="431" t="e">
        <f>VLOOKUP(C13,'Sales Master'!B$3:E$936,4,0)</f>
        <v>#N/A</v>
      </c>
      <c r="J13" s="431"/>
      <c r="K13" s="22" t="e">
        <f>VLOOKUP(C13,'Sales Master'!B$3:$DQ$527,120,0)</f>
        <v>#N/A</v>
      </c>
      <c r="L13" s="71" t="e">
        <f>K13*G13</f>
        <v>#N/A</v>
      </c>
    </row>
    <row r="14" spans="2:15" ht="20.149999999999999" customHeight="1" x14ac:dyDescent="0.45">
      <c r="B14" s="21"/>
      <c r="C14" s="45" t="s">
        <v>258</v>
      </c>
      <c r="D14" s="430" t="e">
        <f>VLOOKUP(C14,'Sales Master'!B$3:D$316,2,0)</f>
        <v>#N/A</v>
      </c>
      <c r="E14" s="430"/>
      <c r="F14" s="430"/>
      <c r="G14" s="45">
        <v>2</v>
      </c>
      <c r="H14" s="65" t="e">
        <f>VLOOKUP(C14,'Sales Master'!B$3:F$936,5,0)</f>
        <v>#N/A</v>
      </c>
      <c r="I14" s="431" t="e">
        <f>VLOOKUP(C14,'Sales Master'!B$3:E$936,4,0)</f>
        <v>#N/A</v>
      </c>
      <c r="J14" s="431"/>
      <c r="K14" s="22" t="e">
        <f>VLOOKUP(C14,'Sales Master'!B$3:$DQ$527,120,0)</f>
        <v>#N/A</v>
      </c>
      <c r="L14" s="71" t="e">
        <f>K14*G14</f>
        <v>#N/A</v>
      </c>
    </row>
    <row r="15" spans="2:15" ht="20.149999999999999" customHeight="1" x14ac:dyDescent="0.45">
      <c r="B15" s="21"/>
      <c r="C15" s="45"/>
      <c r="D15" s="430"/>
      <c r="E15" s="430"/>
      <c r="F15" s="430"/>
      <c r="G15" s="45"/>
      <c r="H15" s="65"/>
      <c r="I15" s="431"/>
      <c r="J15" s="431"/>
      <c r="K15" s="22"/>
      <c r="L15" s="71"/>
    </row>
    <row r="16" spans="2:15" ht="20.149999999999999" customHeight="1" x14ac:dyDescent="0.45">
      <c r="B16" s="21"/>
      <c r="C16" s="45"/>
      <c r="D16" s="430"/>
      <c r="E16" s="430"/>
      <c r="F16" s="430"/>
      <c r="G16" s="45"/>
      <c r="H16" s="65"/>
      <c r="I16" s="431"/>
      <c r="J16" s="431"/>
      <c r="K16" s="22"/>
      <c r="L16" s="71"/>
    </row>
    <row r="17" spans="2:12" ht="20.149999999999999" customHeight="1" x14ac:dyDescent="0.45">
      <c r="B17" s="21"/>
      <c r="C17" s="45"/>
      <c r="D17" s="430"/>
      <c r="E17" s="430"/>
      <c r="F17" s="430"/>
      <c r="G17" s="45"/>
      <c r="H17" s="65"/>
      <c r="I17" s="431"/>
      <c r="J17" s="431"/>
      <c r="K17" s="22"/>
      <c r="L17" s="71"/>
    </row>
    <row r="18" spans="2:12" ht="20.149999999999999" customHeight="1" x14ac:dyDescent="0.45">
      <c r="B18" s="70"/>
      <c r="C18" s="45"/>
      <c r="D18" s="430"/>
      <c r="E18" s="430"/>
      <c r="F18" s="430"/>
      <c r="G18" s="45"/>
      <c r="H18" s="65"/>
      <c r="I18" s="431"/>
      <c r="J18" s="431"/>
      <c r="K18" s="22"/>
      <c r="L18" s="71"/>
    </row>
    <row r="19" spans="2:12" ht="20.149999999999999" customHeight="1" x14ac:dyDescent="0.45">
      <c r="B19" s="70"/>
      <c r="C19" s="45"/>
      <c r="D19" s="69"/>
      <c r="E19" s="69"/>
      <c r="F19" s="69"/>
      <c r="G19" s="45"/>
      <c r="H19" s="65"/>
      <c r="I19" s="431"/>
      <c r="J19" s="431"/>
      <c r="K19" s="22"/>
      <c r="L19" s="71"/>
    </row>
    <row r="20" spans="2:12" ht="20.149999999999999" customHeight="1" x14ac:dyDescent="0.45">
      <c r="B20" s="70"/>
      <c r="C20" s="45"/>
      <c r="D20" s="69"/>
      <c r="E20" s="69"/>
      <c r="F20" s="69"/>
      <c r="G20" s="45"/>
      <c r="H20" s="65"/>
      <c r="I20" s="431"/>
      <c r="J20" s="431"/>
      <c r="K20" s="22"/>
      <c r="L20" s="71"/>
    </row>
    <row r="21" spans="2:12" ht="20.149999999999999" customHeight="1" x14ac:dyDescent="0.45">
      <c r="B21" s="70"/>
      <c r="C21" s="45"/>
      <c r="D21" s="69"/>
      <c r="E21" s="69"/>
      <c r="F21" s="69"/>
      <c r="G21" s="45"/>
      <c r="H21" s="65"/>
      <c r="I21" s="431"/>
      <c r="J21" s="431"/>
      <c r="K21" s="22"/>
      <c r="L21" s="71"/>
    </row>
    <row r="22" spans="2:12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2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2" ht="20.149999999999999" customHeight="1" x14ac:dyDescent="0.45">
      <c r="B24" s="21"/>
      <c r="C24" s="45"/>
      <c r="D24" s="503"/>
      <c r="E24" s="503"/>
      <c r="F24" s="503"/>
      <c r="G24" s="45"/>
      <c r="H24" s="65"/>
      <c r="I24" s="431"/>
      <c r="J24" s="431"/>
      <c r="K24" s="22"/>
      <c r="L24" s="23"/>
    </row>
    <row r="25" spans="2:12" ht="20.149999999999999" customHeight="1" x14ac:dyDescent="0.45">
      <c r="B25" s="21"/>
      <c r="C25" s="45"/>
      <c r="D25" s="503"/>
      <c r="E25" s="503"/>
      <c r="F25" s="503"/>
      <c r="G25" s="45"/>
      <c r="H25" s="65"/>
      <c r="I25" s="431"/>
      <c r="J25" s="431"/>
      <c r="K25" s="22"/>
      <c r="L25" s="23"/>
    </row>
    <row r="26" spans="2:12" ht="20.149999999999999" customHeight="1" x14ac:dyDescent="0.45">
      <c r="B26" s="21"/>
      <c r="C26" s="45"/>
      <c r="D26" s="503"/>
      <c r="E26" s="503"/>
      <c r="F26" s="503"/>
      <c r="G26" s="45"/>
      <c r="H26" s="65"/>
      <c r="I26" s="431"/>
      <c r="J26" s="431"/>
      <c r="K26" s="22"/>
      <c r="L26" s="23"/>
    </row>
    <row r="27" spans="2:12" ht="20.149999999999999" customHeight="1" x14ac:dyDescent="0.45">
      <c r="B27" s="21"/>
      <c r="C27" s="45"/>
      <c r="D27" s="503"/>
      <c r="E27" s="503"/>
      <c r="F27" s="503"/>
      <c r="G27" s="45"/>
      <c r="H27" s="65"/>
      <c r="I27" s="65"/>
      <c r="J27" s="65"/>
      <c r="K27" s="22"/>
      <c r="L27" s="23"/>
    </row>
    <row r="28" spans="2:12" ht="20.149999999999999" customHeight="1" x14ac:dyDescent="0.45">
      <c r="B28" s="21"/>
      <c r="C28" s="45"/>
      <c r="D28" s="503"/>
      <c r="E28" s="503"/>
      <c r="F28" s="503"/>
      <c r="G28" s="45"/>
      <c r="H28" s="65"/>
      <c r="I28" s="65"/>
      <c r="J28" s="65"/>
      <c r="K28" s="22"/>
      <c r="L28" s="23"/>
    </row>
    <row r="29" spans="2:12" ht="20.149999999999999" customHeight="1" x14ac:dyDescent="0.45">
      <c r="B29" s="21"/>
      <c r="C29" s="45"/>
      <c r="D29" s="503"/>
      <c r="E29" s="503"/>
      <c r="F29" s="503"/>
      <c r="G29" s="45"/>
      <c r="H29" s="65"/>
      <c r="I29" s="65"/>
      <c r="J29" s="65"/>
      <c r="K29" s="22"/>
      <c r="L29" s="23"/>
    </row>
    <row r="30" spans="2:12" ht="20.149999999999999" customHeight="1" x14ac:dyDescent="0.45">
      <c r="B30" s="21"/>
      <c r="C30" s="45"/>
      <c r="D30" s="503"/>
      <c r="E30" s="503"/>
      <c r="F30" s="503"/>
      <c r="G30" s="45"/>
      <c r="H30" s="65"/>
      <c r="I30" s="65"/>
      <c r="J30" s="65"/>
      <c r="K30" s="22"/>
      <c r="L30" s="23"/>
    </row>
    <row r="31" spans="2:12" ht="20.149999999999999" customHeight="1" thickBot="1" x14ac:dyDescent="0.5">
      <c r="B31" s="24"/>
      <c r="C31" s="25"/>
      <c r="D31" s="473"/>
      <c r="E31" s="473"/>
      <c r="F31" s="473"/>
      <c r="G31" s="25"/>
      <c r="H31" s="66"/>
      <c r="I31" s="66"/>
      <c r="J31" s="66"/>
      <c r="K31" s="26"/>
      <c r="L31" s="27"/>
    </row>
    <row r="32" spans="2:12" ht="20.149999999999999" customHeight="1" thickBot="1" x14ac:dyDescent="0.5">
      <c r="B32" s="28"/>
      <c r="L32" s="29"/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30" t="e">
        <f>SUM(L13:L32)</f>
        <v>#N/A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32" t="e">
        <f>L36</f>
        <v>#N/A</v>
      </c>
    </row>
    <row r="35" spans="2:12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114" t="e">
        <f>L33/107*100</f>
        <v>#N/A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7.0000000000000007E-2</v>
      </c>
      <c r="L36" s="44" t="e">
        <f>L35*K36</f>
        <v>#N/A</v>
      </c>
    </row>
    <row r="37" spans="2:12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78" t="s">
        <v>21</v>
      </c>
      <c r="K37" s="479"/>
      <c r="L37" s="33" t="e">
        <f>L35+L36</f>
        <v>#N/A</v>
      </c>
    </row>
    <row r="38" spans="2:12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2" ht="20.149999999999999" customHeight="1" x14ac:dyDescent="0.45">
      <c r="B39" s="183" t="s">
        <v>749</v>
      </c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34"/>
      <c r="C43" s="35"/>
      <c r="D43" s="35"/>
      <c r="J43" s="35"/>
      <c r="K43" s="35"/>
      <c r="L43" s="36"/>
    </row>
    <row r="44" spans="2:12" ht="20.149999999999999" customHeight="1" x14ac:dyDescent="0.45">
      <c r="B44" s="28" t="s">
        <v>24</v>
      </c>
      <c r="J44" s="60" t="s">
        <v>25</v>
      </c>
      <c r="L44" s="29"/>
    </row>
    <row r="45" spans="2:12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7">
    <mergeCell ref="K5:L5"/>
    <mergeCell ref="B6:D6"/>
    <mergeCell ref="F6:H10"/>
    <mergeCell ref="K6:L6"/>
    <mergeCell ref="B7:D7"/>
    <mergeCell ref="K7:L7"/>
    <mergeCell ref="B8:D8"/>
    <mergeCell ref="K8:L8"/>
    <mergeCell ref="B9:D9"/>
    <mergeCell ref="K9:L9"/>
    <mergeCell ref="B10:D10"/>
    <mergeCell ref="K10:L10"/>
    <mergeCell ref="D12:F12"/>
    <mergeCell ref="I12:J12"/>
    <mergeCell ref="D13:F13"/>
    <mergeCell ref="I13:J13"/>
    <mergeCell ref="I20:J20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I19:J19"/>
    <mergeCell ref="D28:F28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J37:K37"/>
    <mergeCell ref="D29:F29"/>
    <mergeCell ref="D30:F30"/>
    <mergeCell ref="D31:F31"/>
    <mergeCell ref="J33:K33"/>
    <mergeCell ref="J35:K35"/>
  </mergeCells>
  <pageMargins left="0.70866141732283505" right="0.31496062992126" top="2.1259842519685002" bottom="0" header="0.31496062992126" footer="0.31496062992126"/>
  <pageSetup paperSize="9" scale="74" fitToHeight="0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869BD-C436-4101-8276-60A1B5136016}">
  <sheetPr codeName="Sheet129">
    <tabColor rgb="FFFFFF00"/>
    <pageSetUpPr fitToPage="1"/>
  </sheetPr>
  <dimension ref="B1:O50"/>
  <sheetViews>
    <sheetView topLeftCell="A7" zoomScaleNormal="100" workbookViewId="0">
      <selection activeCell="D21" sqref="D21:F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512</v>
      </c>
      <c r="J10" s="17" t="s">
        <v>26</v>
      </c>
      <c r="K10" s="455">
        <v>202101009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>
        <v>44198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704</v>
      </c>
      <c r="D18" s="430" t="e">
        <f>VLOOKUP(C18,'Sales Master'!B$3:D$316,2,0)</f>
        <v>#N/A</v>
      </c>
      <c r="E18" s="430"/>
      <c r="F18" s="430"/>
      <c r="G18" s="45">
        <v>2</v>
      </c>
      <c r="H18" s="65" t="e">
        <f>VLOOKUP(C18,'Sales Master'!B$3:F$936,5,0)</f>
        <v>#N/A</v>
      </c>
      <c r="I18" s="431" t="e">
        <f>VLOOKUP(C18,'Sales Master'!B$3:E$936,4,0)</f>
        <v>#N/A</v>
      </c>
      <c r="J18" s="431"/>
      <c r="K18" s="22">
        <v>35</v>
      </c>
      <c r="L18" s="71">
        <f>K18*G18</f>
        <v>70</v>
      </c>
    </row>
    <row r="19" spans="2:15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5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5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5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5" ht="20.149999999999999" customHeight="1" x14ac:dyDescent="0.45">
      <c r="B23" s="70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5" ht="20.149999999999999" customHeight="1" x14ac:dyDescent="0.45">
      <c r="B24" s="70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5" ht="20.149999999999999" customHeight="1" x14ac:dyDescent="0.45">
      <c r="B25" s="70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5" ht="20.149999999999999" customHeight="1" x14ac:dyDescent="0.45">
      <c r="B26" s="70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5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5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5" ht="20.149999999999999" customHeight="1" x14ac:dyDescent="0.45">
      <c r="B29" s="21"/>
      <c r="C29" s="45"/>
      <c r="D29" s="503"/>
      <c r="E29" s="503"/>
      <c r="F29" s="503"/>
      <c r="G29" s="45"/>
      <c r="H29" s="65"/>
      <c r="I29" s="431"/>
      <c r="J29" s="431"/>
      <c r="K29" s="22"/>
      <c r="L29" s="23"/>
    </row>
    <row r="30" spans="2:15" ht="20.149999999999999" customHeight="1" x14ac:dyDescent="0.45">
      <c r="B30" s="21"/>
      <c r="C30" s="45"/>
      <c r="D30" s="503"/>
      <c r="E30" s="503"/>
      <c r="F30" s="503"/>
      <c r="G30" s="45"/>
      <c r="H30" s="65"/>
      <c r="I30" s="431"/>
      <c r="J30" s="431"/>
      <c r="K30" s="22"/>
      <c r="L30" s="23"/>
    </row>
    <row r="31" spans="2:15" ht="20.149999999999999" customHeight="1" x14ac:dyDescent="0.45">
      <c r="B31" s="21"/>
      <c r="C31" s="45"/>
      <c r="D31" s="503"/>
      <c r="E31" s="503"/>
      <c r="F31" s="503"/>
      <c r="G31" s="45"/>
      <c r="H31" s="65"/>
      <c r="I31" s="431"/>
      <c r="J31" s="431"/>
      <c r="K31" s="22"/>
      <c r="L31" s="23"/>
    </row>
    <row r="32" spans="2:15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</row>
    <row r="35" spans="2:12" ht="20.149999999999999" customHeight="1" x14ac:dyDescent="0.45">
      <c r="B35" s="21"/>
      <c r="C35" s="45"/>
      <c r="D35" s="503"/>
      <c r="E35" s="503"/>
      <c r="F35" s="503"/>
      <c r="G35" s="45"/>
      <c r="H35" s="65"/>
      <c r="I35" s="65"/>
      <c r="J35" s="65"/>
      <c r="K35" s="22"/>
      <c r="L35" s="23"/>
    </row>
    <row r="36" spans="2:12" ht="20.149999999999999" customHeight="1" thickBot="1" x14ac:dyDescent="0.5">
      <c r="B36" s="24"/>
      <c r="C36" s="25"/>
      <c r="D36" s="473"/>
      <c r="E36" s="473"/>
      <c r="F36" s="473"/>
      <c r="G36" s="25"/>
      <c r="H36" s="66"/>
      <c r="I36" s="66"/>
      <c r="J36" s="66"/>
      <c r="K36" s="26"/>
      <c r="L36" s="27"/>
    </row>
    <row r="37" spans="2:12" ht="20.149999999999999" customHeight="1" thickBot="1" x14ac:dyDescent="0.5">
      <c r="B37" s="28"/>
      <c r="L37" s="29"/>
    </row>
    <row r="38" spans="2:12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474" t="s">
        <v>13</v>
      </c>
      <c r="K38" s="475"/>
      <c r="L38" s="30">
        <f>SUM(L18:L37)</f>
        <v>70</v>
      </c>
    </row>
    <row r="39" spans="2:12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0" t="s">
        <v>553</v>
      </c>
      <c r="K39" s="113">
        <v>6.54E-2</v>
      </c>
      <c r="L39" s="32">
        <f>L38-L40</f>
        <v>4.5794392523364564</v>
      </c>
    </row>
    <row r="40" spans="2:12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476" t="s">
        <v>555</v>
      </c>
      <c r="K40" s="477"/>
      <c r="L40" s="114">
        <f>L38/107*100</f>
        <v>65.420560747663544</v>
      </c>
    </row>
    <row r="41" spans="2:12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1" t="s">
        <v>554</v>
      </c>
      <c r="K41" s="112">
        <v>7.0000000000000007E-2</v>
      </c>
      <c r="L41" s="44">
        <f>L40*K41</f>
        <v>4.5794392523364484</v>
      </c>
    </row>
    <row r="42" spans="2:12" ht="20.149999999999999" customHeight="1" thickBot="1" x14ac:dyDescent="0.5">
      <c r="B42" s="11" t="s">
        <v>748</v>
      </c>
      <c r="C42" s="10"/>
      <c r="D42" s="10"/>
      <c r="E42" s="10"/>
      <c r="F42" s="10"/>
      <c r="G42" s="10"/>
      <c r="H42" s="10"/>
      <c r="I42" s="10"/>
      <c r="J42" s="478" t="s">
        <v>21</v>
      </c>
      <c r="K42" s="479"/>
      <c r="L42" s="33">
        <f>L40+L41</f>
        <v>69.999999999999986</v>
      </c>
    </row>
    <row r="43" spans="2:12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2" ht="20.149999999999999" customHeight="1" x14ac:dyDescent="0.45">
      <c r="B44" s="183" t="s">
        <v>749</v>
      </c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28"/>
      <c r="L47" s="29"/>
    </row>
    <row r="48" spans="2:12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51">
    <mergeCell ref="B1:L8"/>
    <mergeCell ref="D36:F36"/>
    <mergeCell ref="J38:K38"/>
    <mergeCell ref="J40:K40"/>
    <mergeCell ref="J42:K42"/>
    <mergeCell ref="D26:F26"/>
    <mergeCell ref="I26:J26"/>
    <mergeCell ref="D27:F27"/>
    <mergeCell ref="I27:J27"/>
    <mergeCell ref="D35:F35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D33:F33"/>
    <mergeCell ref="D34:F34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5" fitToHeight="0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0192D-FC1D-4185-8F41-04525122A5AC}">
  <sheetPr codeName="Sheet131">
    <tabColor rgb="FFFF0000"/>
    <pageSetUpPr fitToPage="1"/>
  </sheetPr>
  <dimension ref="B1:V43"/>
  <sheetViews>
    <sheetView workbookViewId="0">
      <selection activeCell="B1" sqref="B1:L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418</v>
      </c>
      <c r="J10" s="17" t="s">
        <v>26</v>
      </c>
      <c r="K10" s="455">
        <v>202105164</v>
      </c>
      <c r="L10" s="456"/>
    </row>
    <row r="11" spans="2:12" ht="20.149999999999999" customHeight="1" x14ac:dyDescent="0.45">
      <c r="B11" s="480" t="s">
        <v>594</v>
      </c>
      <c r="C11" s="481"/>
      <c r="D11" s="482"/>
      <c r="E11" s="61"/>
      <c r="F11" s="444" t="str">
        <f>VLOOKUP(H10,'Delivery Location'!A$4:N$423,2,0)</f>
        <v>Mei Le Yuan Desserts                               85 Redhill Lane, #01-81                     Redhill Market, Singapore 150085</v>
      </c>
      <c r="G11" s="445"/>
      <c r="H11" s="446"/>
      <c r="J11" s="18" t="s">
        <v>9</v>
      </c>
      <c r="K11" s="502">
        <v>44326</v>
      </c>
      <c r="L11" s="466"/>
    </row>
    <row r="12" spans="2:12" ht="20.149999999999999" customHeight="1" x14ac:dyDescent="0.45">
      <c r="B12" s="462" t="s">
        <v>595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 t="s">
        <v>597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1156</v>
      </c>
      <c r="L13" s="466"/>
    </row>
    <row r="14" spans="2:12" ht="20.149999999999999" customHeight="1" x14ac:dyDescent="0.45">
      <c r="B14" s="462" t="s">
        <v>596</v>
      </c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 t="s">
        <v>33</v>
      </c>
      <c r="L15" s="484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22" ht="20.149999999999999" customHeight="1" x14ac:dyDescent="0.45">
      <c r="B18" s="21"/>
      <c r="C18" s="45" t="s">
        <v>926</v>
      </c>
      <c r="D18" s="430" t="str">
        <f>VLOOKUP(C18,'Sales Master'!B$3:D$644,2,0)</f>
        <v>Red Bean 红豆</v>
      </c>
      <c r="E18" s="430"/>
      <c r="F18" s="430"/>
      <c r="G18" s="45">
        <v>1</v>
      </c>
      <c r="H18" s="65" t="str">
        <f>VLOOKUP(C18,'Sales Master'!B$3:F$936,5,0)</f>
        <v>3 kgs</v>
      </c>
      <c r="I18" s="431" t="str">
        <f>VLOOKUP(C18,'Sales Master'!B$3:E$936,4,0)</f>
        <v>-</v>
      </c>
      <c r="J18" s="431"/>
      <c r="K18" s="22">
        <f>18/5*3</f>
        <v>10.8</v>
      </c>
      <c r="L18" s="23">
        <f>K18*G18</f>
        <v>10.8</v>
      </c>
      <c r="N18" s="94" t="s">
        <v>270</v>
      </c>
      <c r="O18" s="60" t="s">
        <v>168</v>
      </c>
      <c r="R18" s="60">
        <v>1</v>
      </c>
      <c r="S18" s="60" t="s">
        <v>315</v>
      </c>
      <c r="T18" s="60" t="s">
        <v>316</v>
      </c>
      <c r="V18" s="60">
        <v>30</v>
      </c>
    </row>
    <row r="19" spans="2:22" ht="20.149999999999999" customHeight="1" x14ac:dyDescent="0.45">
      <c r="B19" s="21"/>
      <c r="C19" s="45" t="s">
        <v>1082</v>
      </c>
      <c r="D19" s="430" t="e">
        <f>VLOOKUP(C19,'Sales Master'!B$3:D$644,2,0)</f>
        <v>#N/A</v>
      </c>
      <c r="E19" s="430"/>
      <c r="F19" s="430"/>
      <c r="G19" s="45">
        <v>2</v>
      </c>
      <c r="H19" s="65" t="e">
        <f>VLOOKUP(C19,'Sales Master'!B$3:F$936,5,0)</f>
        <v>#N/A</v>
      </c>
      <c r="I19" s="431"/>
      <c r="J19" s="431"/>
      <c r="K19" s="22">
        <v>5.35</v>
      </c>
      <c r="L19" s="23">
        <f>K19*G19</f>
        <v>10.7</v>
      </c>
      <c r="N19" s="94" t="s">
        <v>281</v>
      </c>
      <c r="O19" s="60" t="s">
        <v>197</v>
      </c>
      <c r="R19" s="60">
        <v>4</v>
      </c>
      <c r="S19" s="60" t="s">
        <v>33</v>
      </c>
      <c r="T19" s="60" t="s">
        <v>31</v>
      </c>
      <c r="V19" s="60">
        <v>2.5</v>
      </c>
    </row>
    <row r="20" spans="2:22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23"/>
      <c r="N20" s="94" t="s">
        <v>266</v>
      </c>
      <c r="O20" s="60" t="s">
        <v>171</v>
      </c>
      <c r="R20" s="60">
        <v>1</v>
      </c>
      <c r="S20" s="60" t="s">
        <v>42</v>
      </c>
      <c r="T20" s="60" t="s">
        <v>66</v>
      </c>
      <c r="V20" s="60">
        <v>34</v>
      </c>
    </row>
    <row r="21" spans="2:22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23"/>
      <c r="N21" s="60" t="s">
        <v>277</v>
      </c>
      <c r="O21" s="60" t="s">
        <v>169</v>
      </c>
      <c r="R21" s="60">
        <v>1</v>
      </c>
      <c r="S21" s="60" t="s">
        <v>39</v>
      </c>
      <c r="T21" s="60" t="s">
        <v>69</v>
      </c>
      <c r="V21" s="60">
        <v>14</v>
      </c>
    </row>
    <row r="22" spans="2:22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23"/>
      <c r="N22" s="60" t="s">
        <v>267</v>
      </c>
      <c r="O22" s="60" t="s">
        <v>172</v>
      </c>
      <c r="R22" s="60">
        <v>1</v>
      </c>
      <c r="S22" s="60" t="s">
        <v>43</v>
      </c>
      <c r="T22" s="60" t="s">
        <v>402</v>
      </c>
      <c r="V22" s="60">
        <v>18</v>
      </c>
    </row>
    <row r="23" spans="2:22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23"/>
      <c r="N23" s="60" t="s">
        <v>344</v>
      </c>
      <c r="O23" s="60" t="s">
        <v>174</v>
      </c>
      <c r="R23" s="60">
        <v>1</v>
      </c>
      <c r="S23" s="60" t="s">
        <v>59</v>
      </c>
      <c r="T23" s="60" t="s">
        <v>301</v>
      </c>
      <c r="V23" s="60">
        <v>9</v>
      </c>
    </row>
    <row r="24" spans="2:22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22"/>
      <c r="L24" s="23"/>
    </row>
    <row r="25" spans="2:22" ht="20.149999999999999" customHeight="1" x14ac:dyDescent="0.45">
      <c r="B25" s="21"/>
      <c r="C25" s="45"/>
      <c r="D25" s="430"/>
      <c r="E25" s="430"/>
      <c r="F25" s="430"/>
      <c r="G25" s="45"/>
      <c r="H25" s="65"/>
      <c r="I25" s="431"/>
      <c r="J25" s="431"/>
      <c r="K25" s="22"/>
      <c r="L25" s="23"/>
    </row>
    <row r="26" spans="2:22" ht="20.149999999999999" customHeight="1" x14ac:dyDescent="0.45">
      <c r="B26" s="180"/>
      <c r="C26" s="45"/>
      <c r="D26" s="430"/>
      <c r="E26" s="430"/>
      <c r="F26" s="430"/>
      <c r="G26" s="45"/>
      <c r="H26" s="65"/>
      <c r="I26" s="431"/>
      <c r="J26" s="431"/>
      <c r="K26" s="22"/>
      <c r="L26" s="23"/>
    </row>
    <row r="27" spans="2:22" ht="20.149999999999999" customHeight="1" x14ac:dyDescent="0.45">
      <c r="B27" s="180"/>
      <c r="C27" s="45"/>
      <c r="D27" s="430"/>
      <c r="E27" s="430"/>
      <c r="F27" s="430"/>
      <c r="G27" s="45"/>
      <c r="H27" s="65"/>
      <c r="I27" s="431"/>
      <c r="J27" s="431"/>
      <c r="K27" s="22"/>
      <c r="L27" s="23"/>
    </row>
    <row r="28" spans="2:22" ht="20.149999999999999" customHeight="1" x14ac:dyDescent="0.45">
      <c r="B28" s="21"/>
      <c r="C28" s="45"/>
      <c r="D28" s="69"/>
      <c r="E28" s="69"/>
      <c r="F28" s="69"/>
      <c r="G28" s="45"/>
      <c r="H28" s="65"/>
      <c r="I28" s="65"/>
      <c r="J28" s="65"/>
      <c r="K28" s="96"/>
      <c r="L28" s="131"/>
    </row>
    <row r="29" spans="2:22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22" ht="20.149999999999999" customHeight="1" thickBot="1" x14ac:dyDescent="0.5">
      <c r="B30" s="28"/>
      <c r="L30" s="29"/>
    </row>
    <row r="31" spans="2:22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SUM(L17:L30)</f>
        <v>21.5</v>
      </c>
    </row>
    <row r="32" spans="2:22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L34</f>
        <v>1.4065420560747666</v>
      </c>
      <c r="O32" s="60">
        <v>5000</v>
      </c>
    </row>
    <row r="33" spans="2:15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L31/107*100</f>
        <v>20.093457943925234</v>
      </c>
      <c r="O33" s="60">
        <v>25</v>
      </c>
    </row>
    <row r="34" spans="2:15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7.0000000000000007E-2</v>
      </c>
      <c r="L34" s="44">
        <f>L33*K34</f>
        <v>1.4065420560747666</v>
      </c>
      <c r="M34" s="95"/>
      <c r="O34" s="60">
        <f>O32*O33</f>
        <v>125000</v>
      </c>
    </row>
    <row r="35" spans="2:15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21.5</v>
      </c>
    </row>
    <row r="36" spans="2:15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5" ht="20.149999999999999" customHeight="1" x14ac:dyDescent="0.45">
      <c r="B37" s="183" t="s">
        <v>749</v>
      </c>
      <c r="L37" s="29" t="s">
        <v>334</v>
      </c>
    </row>
    <row r="38" spans="2:15" ht="20.149999999999999" customHeight="1" x14ac:dyDescent="0.45">
      <c r="B38" s="28"/>
      <c r="L38" s="29"/>
    </row>
    <row r="39" spans="2:15" ht="20.149999999999999" customHeight="1" x14ac:dyDescent="0.45">
      <c r="B39" s="28"/>
      <c r="L39" s="29"/>
    </row>
    <row r="40" spans="2:15" ht="20.149999999999999" customHeight="1" x14ac:dyDescent="0.45">
      <c r="B40" s="28"/>
      <c r="L40" s="29"/>
    </row>
    <row r="41" spans="2:15" ht="20.149999999999999" customHeight="1" x14ac:dyDescent="0.45">
      <c r="B41" s="34"/>
      <c r="C41" s="35"/>
      <c r="D41" s="35"/>
      <c r="J41" s="35"/>
      <c r="K41" s="35"/>
      <c r="L41" s="36"/>
    </row>
    <row r="42" spans="2:15" ht="20.149999999999999" customHeight="1" x14ac:dyDescent="0.45">
      <c r="B42" s="28" t="s">
        <v>24</v>
      </c>
      <c r="J42" s="60" t="s">
        <v>25</v>
      </c>
      <c r="L42" s="29"/>
    </row>
    <row r="43" spans="2:15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8">
    <mergeCell ref="K15:L15"/>
    <mergeCell ref="K12:L12"/>
    <mergeCell ref="B13:D13"/>
    <mergeCell ref="K13:L13"/>
    <mergeCell ref="B14:D14"/>
    <mergeCell ref="K14:L14"/>
    <mergeCell ref="K11:L11"/>
    <mergeCell ref="B12:D12"/>
    <mergeCell ref="J35:K35"/>
    <mergeCell ref="J33:K33"/>
    <mergeCell ref="D19:F19"/>
    <mergeCell ref="I19:J19"/>
    <mergeCell ref="D24:F24"/>
    <mergeCell ref="I24:J24"/>
    <mergeCell ref="D21:F21"/>
    <mergeCell ref="I21:J21"/>
    <mergeCell ref="D23:F23"/>
    <mergeCell ref="I23:J23"/>
    <mergeCell ref="D22:F22"/>
    <mergeCell ref="I22:J22"/>
    <mergeCell ref="D26:F26"/>
    <mergeCell ref="I26:J26"/>
    <mergeCell ref="D27:F27"/>
    <mergeCell ref="I27:J27"/>
    <mergeCell ref="B1:L8"/>
    <mergeCell ref="D29:F29"/>
    <mergeCell ref="J31:K31"/>
    <mergeCell ref="D17:F17"/>
    <mergeCell ref="I17:J17"/>
    <mergeCell ref="D18:F18"/>
    <mergeCell ref="I18:J18"/>
    <mergeCell ref="D20:F20"/>
    <mergeCell ref="I20:J20"/>
    <mergeCell ref="K10:L10"/>
    <mergeCell ref="B11:D11"/>
    <mergeCell ref="F11:H15"/>
    <mergeCell ref="D25:F25"/>
    <mergeCell ref="I25:J25"/>
  </mergeCells>
  <printOptions horizontalCentered="1"/>
  <pageMargins left="0.70866141732283472" right="0.31496062992125984" top="0.59055118110236227" bottom="0" header="0.31496062992125984" footer="0.31496062992125984"/>
  <pageSetup paperSize="9" scale="73" fitToHeight="0" orientation="portrait" verticalDpi="30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5AA8D-6747-43A9-8827-699EBFDC0409}">
  <sheetPr codeName="Sheet18">
    <tabColor rgb="FF7030A0"/>
    <pageSetUpPr fitToPage="1"/>
  </sheetPr>
  <dimension ref="B1:O48"/>
  <sheetViews>
    <sheetView topLeftCell="A10" workbookViewId="0">
      <selection activeCell="K21" sqref="K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1176</v>
      </c>
      <c r="J10" s="17" t="s">
        <v>26</v>
      </c>
      <c r="K10" s="455">
        <v>202111010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Ms Tay  Tel: 98396384</v>
      </c>
      <c r="G11" s="445"/>
      <c r="H11" s="446"/>
      <c r="J11" s="18" t="s">
        <v>9</v>
      </c>
      <c r="K11" s="502">
        <v>44207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122" t="s">
        <v>3</v>
      </c>
      <c r="D17" s="553" t="s">
        <v>4</v>
      </c>
      <c r="E17" s="553"/>
      <c r="F17" s="553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1202</v>
      </c>
      <c r="D18" s="430" t="str">
        <f>VLOOKUP(C18,'Sales Master'!B$3:D$642,2,0)</f>
        <v>Fresh Soursop Seedless 红毛榴莲(无)</v>
      </c>
      <c r="E18" s="430"/>
      <c r="F18" s="430"/>
      <c r="G18" s="45">
        <v>0</v>
      </c>
      <c r="H18" s="65" t="str">
        <f>VLOOKUP(C18,'Sales Master'!B$3:F$936,5,0)</f>
        <v>5 KGS/ Pkt</v>
      </c>
      <c r="I18" s="431" t="str">
        <f>VLOOKUP(C18,'Sales Master'!B$3:E$936,4,0)</f>
        <v>Malaysia</v>
      </c>
      <c r="J18" s="431"/>
      <c r="K18" s="22">
        <f>VLOOKUP(C18,'Sales Master'!B$3:ED$536,133,0)</f>
        <v>35</v>
      </c>
      <c r="L18" s="23">
        <f>K18*G18</f>
        <v>0</v>
      </c>
    </row>
    <row r="19" spans="2:15" ht="20.149999999999999" customHeight="1" x14ac:dyDescent="0.45">
      <c r="B19" s="21"/>
      <c r="C19" s="45" t="s">
        <v>862</v>
      </c>
      <c r="D19" s="430" t="str">
        <f>VLOOKUP(C19,'Sales Master'!B$3:D$642,2,0)</f>
        <v>Fresh Soursop Seedless 红毛榴莲(无)</v>
      </c>
      <c r="E19" s="430"/>
      <c r="F19" s="430"/>
      <c r="G19" s="45">
        <v>2</v>
      </c>
      <c r="H19" s="65" t="str">
        <f>VLOOKUP(C19,'Sales Master'!B$3:F$936,5,0)</f>
        <v>Box/盒</v>
      </c>
      <c r="I19" s="431" t="str">
        <f>VLOOKUP(C19,'Sales Master'!B$3:E$936,4,0)</f>
        <v>DO!</v>
      </c>
      <c r="J19" s="431"/>
      <c r="K19" s="22">
        <f>VLOOKUP(C19,'Sales Master'!B$3:ED$536,133,0)</f>
        <v>8</v>
      </c>
      <c r="L19" s="23">
        <f>K19*G19</f>
        <v>16</v>
      </c>
    </row>
    <row r="20" spans="2:15" ht="20.149999999999999" customHeight="1" x14ac:dyDescent="0.45">
      <c r="B20" s="21"/>
      <c r="C20" s="45" t="s">
        <v>821</v>
      </c>
      <c r="D20" s="430" t="str">
        <f>VLOOKUP(C20,'Sales Master'!B$3:D$642,2,0)</f>
        <v>Mango Puree 芒果浆</v>
      </c>
      <c r="E20" s="430"/>
      <c r="F20" s="430"/>
      <c r="G20" s="45">
        <v>2</v>
      </c>
      <c r="H20" s="65" t="str">
        <f>VLOOKUP(C20,'Sales Master'!B$3:F$936,5,0)</f>
        <v>Box/盒</v>
      </c>
      <c r="I20" s="431" t="str">
        <f>VLOOKUP(C20,'Sales Master'!B$3:E$936,4,0)</f>
        <v>DO!</v>
      </c>
      <c r="J20" s="431"/>
      <c r="K20" s="22">
        <f>VLOOKUP(C20,'Sales Master'!B$3:ED$536,133,0)</f>
        <v>7</v>
      </c>
      <c r="L20" s="23">
        <f>K20*G20</f>
        <v>14</v>
      </c>
    </row>
    <row r="21" spans="2:15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23"/>
    </row>
    <row r="22" spans="2:15" ht="20.149999999999999" customHeight="1" x14ac:dyDescent="0.45">
      <c r="B22" s="21"/>
      <c r="C22" s="45"/>
      <c r="D22" s="503"/>
      <c r="E22" s="503"/>
      <c r="F22" s="503"/>
      <c r="G22" s="45"/>
      <c r="H22" s="65"/>
      <c r="I22" s="431"/>
      <c r="J22" s="431"/>
      <c r="K22" s="22"/>
      <c r="L22" s="23"/>
    </row>
    <row r="23" spans="2:15" ht="20.149999999999999" customHeight="1" x14ac:dyDescent="0.45">
      <c r="B23" s="21"/>
      <c r="C23" s="45"/>
      <c r="D23" s="503"/>
      <c r="E23" s="503"/>
      <c r="F23" s="503"/>
      <c r="G23" s="45"/>
      <c r="H23" s="65"/>
      <c r="I23" s="431"/>
      <c r="J23" s="431"/>
      <c r="K23" s="22"/>
      <c r="L23" s="23"/>
    </row>
    <row r="24" spans="2:15" ht="20.149999999999999" customHeight="1" x14ac:dyDescent="0.45">
      <c r="B24" s="21"/>
      <c r="C24" s="45"/>
      <c r="D24" s="503"/>
      <c r="E24" s="503"/>
      <c r="F24" s="503"/>
      <c r="G24" s="45"/>
      <c r="H24" s="65"/>
      <c r="I24" s="431"/>
      <c r="J24" s="431"/>
      <c r="K24" s="22"/>
      <c r="L24" s="23"/>
    </row>
    <row r="25" spans="2:15" ht="20.149999999999999" customHeight="1" x14ac:dyDescent="0.45">
      <c r="B25" s="21"/>
      <c r="C25" s="45"/>
      <c r="D25" s="503"/>
      <c r="E25" s="503"/>
      <c r="F25" s="503"/>
      <c r="G25" s="45"/>
      <c r="H25" s="65"/>
      <c r="I25" s="431"/>
      <c r="J25" s="431"/>
      <c r="K25" s="22"/>
      <c r="L25" s="23"/>
    </row>
    <row r="26" spans="2:15" ht="20.149999999999999" customHeight="1" x14ac:dyDescent="0.45">
      <c r="B26" s="21"/>
      <c r="C26" s="45"/>
      <c r="D26" s="503"/>
      <c r="E26" s="503"/>
      <c r="F26" s="503"/>
      <c r="G26" s="45"/>
      <c r="H26" s="65"/>
      <c r="I26" s="431"/>
      <c r="J26" s="431"/>
      <c r="K26" s="22"/>
      <c r="L26" s="23"/>
    </row>
    <row r="27" spans="2:15" ht="20.149999999999999" customHeight="1" x14ac:dyDescent="0.45">
      <c r="B27" s="21"/>
      <c r="C27" s="45"/>
      <c r="D27" s="503"/>
      <c r="E27" s="503"/>
      <c r="F27" s="503"/>
      <c r="G27" s="45"/>
      <c r="H27" s="65"/>
      <c r="I27" s="431"/>
      <c r="J27" s="431"/>
      <c r="K27" s="22"/>
      <c r="L27" s="23"/>
    </row>
    <row r="28" spans="2:15" ht="20.149999999999999" customHeight="1" x14ac:dyDescent="0.45">
      <c r="B28" s="21"/>
      <c r="C28" s="45"/>
      <c r="D28" s="503"/>
      <c r="E28" s="503"/>
      <c r="F28" s="503"/>
      <c r="G28" s="45"/>
      <c r="H28" s="65"/>
      <c r="I28" s="431"/>
      <c r="J28" s="431"/>
      <c r="K28" s="22"/>
      <c r="L28" s="23"/>
    </row>
    <row r="29" spans="2:15" ht="20.149999999999999" customHeight="1" x14ac:dyDescent="0.45">
      <c r="B29" s="21"/>
      <c r="C29" s="45"/>
      <c r="D29" s="503"/>
      <c r="E29" s="503"/>
      <c r="F29" s="503"/>
      <c r="G29" s="45"/>
      <c r="H29" s="65"/>
      <c r="I29" s="431"/>
      <c r="J29" s="431"/>
      <c r="K29" s="22"/>
      <c r="L29" s="23"/>
    </row>
    <row r="30" spans="2:15" ht="20.149999999999999" customHeight="1" x14ac:dyDescent="0.45">
      <c r="B30" s="21"/>
      <c r="C30" s="45"/>
      <c r="D30" s="503"/>
      <c r="E30" s="503"/>
      <c r="F30" s="503"/>
      <c r="G30" s="45"/>
      <c r="H30" s="65"/>
      <c r="I30" s="65"/>
      <c r="J30" s="65"/>
      <c r="K30" s="22"/>
      <c r="L30" s="23"/>
    </row>
    <row r="31" spans="2:15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15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2" ht="20.149999999999999" customHeight="1" thickBot="1" x14ac:dyDescent="0.5">
      <c r="B34" s="24"/>
      <c r="C34" s="25"/>
      <c r="D34" s="473"/>
      <c r="E34" s="473"/>
      <c r="F34" s="473"/>
      <c r="G34" s="25"/>
      <c r="H34" s="66"/>
      <c r="I34" s="66"/>
      <c r="J34" s="66"/>
      <c r="K34" s="26"/>
      <c r="L34" s="27"/>
    </row>
    <row r="35" spans="2:12" ht="20.149999999999999" customHeight="1" thickBot="1" x14ac:dyDescent="0.5">
      <c r="B35" s="28"/>
      <c r="L35" s="29"/>
    </row>
    <row r="36" spans="2:12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474" t="s">
        <v>13</v>
      </c>
      <c r="K36" s="475"/>
      <c r="L36" s="30">
        <f>SUM(L17:L35)</f>
        <v>30</v>
      </c>
    </row>
    <row r="37" spans="2:12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0" t="s">
        <v>553</v>
      </c>
      <c r="K37" s="113">
        <v>6.54E-2</v>
      </c>
      <c r="L37" s="32">
        <f>L39</f>
        <v>1.9626168224299065</v>
      </c>
    </row>
    <row r="38" spans="2:12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476" t="s">
        <v>555</v>
      </c>
      <c r="K38" s="477"/>
      <c r="L38" s="114">
        <f>L36/107*100</f>
        <v>28.037383177570092</v>
      </c>
    </row>
    <row r="39" spans="2:12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1" t="s">
        <v>554</v>
      </c>
      <c r="K39" s="112">
        <v>7.0000000000000007E-2</v>
      </c>
      <c r="L39" s="44">
        <f>L38*K39</f>
        <v>1.9626168224299065</v>
      </c>
    </row>
    <row r="40" spans="2:12" ht="20.149999999999999" customHeight="1" thickBot="1" x14ac:dyDescent="0.5">
      <c r="B40" s="11" t="s">
        <v>748</v>
      </c>
      <c r="C40" s="10"/>
      <c r="D40" s="10"/>
      <c r="E40" s="10"/>
      <c r="F40" s="10"/>
      <c r="G40" s="10"/>
      <c r="H40" s="10"/>
      <c r="I40" s="10"/>
      <c r="J40" s="478" t="s">
        <v>21</v>
      </c>
      <c r="K40" s="479"/>
      <c r="L40" s="33">
        <f>L38+L39</f>
        <v>30</v>
      </c>
    </row>
    <row r="41" spans="2:12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2" ht="20.149999999999999" customHeight="1" x14ac:dyDescent="0.45">
      <c r="B42" s="183" t="s">
        <v>749</v>
      </c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34"/>
      <c r="C46" s="35"/>
      <c r="D46" s="35"/>
      <c r="J46" s="35"/>
      <c r="K46" s="35"/>
      <c r="L46" s="36"/>
    </row>
    <row r="47" spans="2:12" ht="20.149999999999999" customHeight="1" x14ac:dyDescent="0.45">
      <c r="B47" s="28" t="s">
        <v>24</v>
      </c>
      <c r="J47" s="60" t="s">
        <v>25</v>
      </c>
      <c r="L47" s="29"/>
    </row>
    <row r="48" spans="2:12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46">
    <mergeCell ref="D26:F26"/>
    <mergeCell ref="I26:J26"/>
    <mergeCell ref="D27:F27"/>
    <mergeCell ref="I27:J27"/>
    <mergeCell ref="J40:K40"/>
    <mergeCell ref="D28:F28"/>
    <mergeCell ref="I28:J28"/>
    <mergeCell ref="D29:F29"/>
    <mergeCell ref="I29:J29"/>
    <mergeCell ref="D30:F30"/>
    <mergeCell ref="D31:F31"/>
    <mergeCell ref="D32:F32"/>
    <mergeCell ref="D33:F33"/>
    <mergeCell ref="D34:F34"/>
    <mergeCell ref="J36:K36"/>
    <mergeCell ref="J38:K3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rintOptions horizontalCentered="1"/>
  <pageMargins left="0.70866141732283505" right="0.31496062992126" top="0.59055118110236204" bottom="0" header="0.31496062992126" footer="0.31496062992126"/>
  <pageSetup paperSize="9" scale="75" fitToHeight="0" orientation="portrait" horizontalDpi="300" verticalDpi="30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F494E-8AFB-4F8E-BF69-9D1C242D3D73}">
  <sheetPr codeName="Sheet19">
    <tabColor rgb="FF7030A0"/>
    <pageSetUpPr fitToPage="1"/>
  </sheetPr>
  <dimension ref="B1:O45"/>
  <sheetViews>
    <sheetView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1193</v>
      </c>
      <c r="J10" s="17" t="s">
        <v>26</v>
      </c>
      <c r="K10" s="455">
        <v>202112530</v>
      </c>
      <c r="L10" s="456"/>
    </row>
    <row r="11" spans="2:12" ht="20.149999999999999" customHeight="1" x14ac:dyDescent="0.45">
      <c r="B11" s="480"/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 t="s">
        <v>1225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122" t="s">
        <v>3</v>
      </c>
      <c r="D17" s="553" t="s">
        <v>4</v>
      </c>
      <c r="E17" s="553"/>
      <c r="F17" s="553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1197</v>
      </c>
      <c r="D18" s="430" t="str">
        <f>VLOOKUP(C18,'Sales Master'!B$3:D$642,2,0)</f>
        <v>Pandan Bean Curd Jelly 班兰豆花冻</v>
      </c>
      <c r="E18" s="430"/>
      <c r="F18" s="430"/>
      <c r="G18" s="45">
        <v>50</v>
      </c>
      <c r="H18" s="65" t="str">
        <f>VLOOKUP(C18,'Sales Master'!B$3:F$936,5,0)</f>
        <v>150 GM</v>
      </c>
      <c r="I18" s="431" t="str">
        <f>VLOOKUP(C18,'Sales Master'!B$3:E$936,4,0)</f>
        <v>DO!</v>
      </c>
      <c r="J18" s="431"/>
      <c r="K18" s="22">
        <f>VLOOKUP(C18,'Sales Master'!B$3:EE$536,134,0)</f>
        <v>1</v>
      </c>
      <c r="L18" s="23">
        <f>K18*G18</f>
        <v>50</v>
      </c>
    </row>
    <row r="19" spans="2:15" ht="20.149999999999999" customHeight="1" x14ac:dyDescent="0.45">
      <c r="B19" s="21"/>
      <c r="C19" s="45" t="s">
        <v>846</v>
      </c>
      <c r="D19" s="430" t="str">
        <f>VLOOKUP(C19,'Sales Master'!B$3:D$642,2,0)</f>
        <v>Grass Jelly 仙草冻</v>
      </c>
      <c r="E19" s="430"/>
      <c r="F19" s="430"/>
      <c r="G19" s="45">
        <v>247</v>
      </c>
      <c r="H19" s="65" t="str">
        <f>VLOOKUP(C19,'Sales Master'!B$3:F$936,5,0)</f>
        <v>1 KG/ Box盒</v>
      </c>
      <c r="I19" s="431" t="str">
        <f>VLOOKUP(C19,'Sales Master'!B$3:E$936,4,0)</f>
        <v>DO!</v>
      </c>
      <c r="J19" s="431"/>
      <c r="K19" s="22">
        <f>VLOOKUP(C19,'Sales Master'!B$3:EE$536,134,0)</f>
        <v>0.45</v>
      </c>
      <c r="L19" s="23">
        <f>K19*G19</f>
        <v>111.15</v>
      </c>
    </row>
    <row r="20" spans="2:15" ht="20.149999999999999" customHeight="1" x14ac:dyDescent="0.45">
      <c r="B20" s="21"/>
      <c r="C20" s="45" t="s">
        <v>1102</v>
      </c>
      <c r="D20" s="430" t="str">
        <f>VLOOKUP(C20,'Sales Master'!B$3:D$642,2,0)</f>
        <v>Ginger 老姜</v>
      </c>
      <c r="E20" s="430"/>
      <c r="F20" s="430"/>
      <c r="G20" s="45">
        <v>1</v>
      </c>
      <c r="H20" s="65" t="str">
        <f>VLOOKUP(C20,'Sales Master'!B$3:F$936,5,0)</f>
        <v>1 kg</v>
      </c>
      <c r="I20" s="431" t="str">
        <f>VLOOKUP(C20,'Sales Master'!B$3:E$936,4,0)</f>
        <v>-</v>
      </c>
      <c r="J20" s="431"/>
      <c r="K20" s="22">
        <f>VLOOKUP(C20,'Sales Master'!B$3:EE$536,134,0)</f>
        <v>0</v>
      </c>
      <c r="L20" s="23">
        <f>K20*G20</f>
        <v>0</v>
      </c>
    </row>
    <row r="21" spans="2:15" ht="20.149999999999999" customHeight="1" x14ac:dyDescent="0.45">
      <c r="B21" s="21"/>
      <c r="C21" s="45" t="s">
        <v>1075</v>
      </c>
      <c r="D21" s="430" t="str">
        <f>VLOOKUP(C21,'Sales Master'!B$3:D$642,2,0)</f>
        <v>Rock Sugar 冰糖</v>
      </c>
      <c r="E21" s="430"/>
      <c r="F21" s="430"/>
      <c r="G21" s="45">
        <v>2</v>
      </c>
      <c r="H21" s="65" t="str">
        <f>VLOOKUP(C21,'Sales Master'!B$3:F$936,5,0)</f>
        <v>3 KGS/PKT</v>
      </c>
      <c r="I21" s="431" t="str">
        <f>VLOOKUP(C21,'Sales Master'!B$3:E$936,4,0)</f>
        <v>-</v>
      </c>
      <c r="J21" s="431"/>
      <c r="K21" s="22">
        <f>VLOOKUP(C21,'Sales Master'!B$3:EE$536,134,0)</f>
        <v>6</v>
      </c>
      <c r="L21" s="23">
        <f>K21*G21</f>
        <v>12</v>
      </c>
    </row>
    <row r="22" spans="2:15" ht="20.149999999999999" customHeight="1" x14ac:dyDescent="0.45">
      <c r="B22" s="21"/>
      <c r="C22" s="45" t="s">
        <v>33</v>
      </c>
      <c r="D22" s="430" t="s">
        <v>1229</v>
      </c>
      <c r="E22" s="430"/>
      <c r="F22" s="430"/>
      <c r="G22" s="45">
        <v>50</v>
      </c>
      <c r="H22" s="65" t="s">
        <v>33</v>
      </c>
      <c r="I22" s="431" t="s">
        <v>33</v>
      </c>
      <c r="J22" s="431"/>
      <c r="K22" s="237">
        <v>9.5000000000000001E-2</v>
      </c>
      <c r="L22" s="23">
        <f>K22*G22</f>
        <v>4.75</v>
      </c>
    </row>
    <row r="23" spans="2:15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23"/>
    </row>
    <row r="24" spans="2:15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22"/>
      <c r="L24" s="23"/>
    </row>
    <row r="25" spans="2:15" ht="20.149999999999999" customHeight="1" x14ac:dyDescent="0.45">
      <c r="B25" s="21"/>
      <c r="C25" s="45"/>
      <c r="D25" s="503"/>
      <c r="E25" s="503"/>
      <c r="F25" s="503"/>
      <c r="G25" s="45"/>
      <c r="H25" s="65"/>
      <c r="I25" s="431"/>
      <c r="J25" s="431"/>
      <c r="K25" s="22"/>
      <c r="L25" s="23"/>
    </row>
    <row r="26" spans="2:15" ht="20.149999999999999" customHeight="1" x14ac:dyDescent="0.45">
      <c r="B26" s="21"/>
      <c r="C26" s="45"/>
      <c r="D26" s="503"/>
      <c r="E26" s="503"/>
      <c r="F26" s="503"/>
      <c r="G26" s="45"/>
      <c r="H26" s="65"/>
      <c r="I26" s="431"/>
      <c r="J26" s="431"/>
      <c r="K26" s="22"/>
      <c r="L26" s="23"/>
    </row>
    <row r="27" spans="2:15" ht="20.149999999999999" customHeight="1" x14ac:dyDescent="0.45">
      <c r="B27" s="21"/>
      <c r="C27" s="45"/>
      <c r="D27" s="503"/>
      <c r="E27" s="503"/>
      <c r="F27" s="503"/>
      <c r="G27" s="45"/>
      <c r="H27" s="65"/>
      <c r="I27" s="65"/>
      <c r="J27" s="65"/>
      <c r="K27" s="22"/>
      <c r="L27" s="23"/>
    </row>
    <row r="28" spans="2:15" ht="20.149999999999999" customHeight="1" x14ac:dyDescent="0.45">
      <c r="B28" s="21"/>
      <c r="C28" s="45"/>
      <c r="D28" s="503"/>
      <c r="E28" s="503"/>
      <c r="F28" s="503"/>
      <c r="G28" s="45"/>
      <c r="H28" s="65"/>
      <c r="I28" s="65"/>
      <c r="J28" s="65"/>
      <c r="K28" s="22"/>
      <c r="L28" s="23"/>
    </row>
    <row r="29" spans="2:15" ht="20.149999999999999" customHeight="1" x14ac:dyDescent="0.45">
      <c r="B29" s="21"/>
      <c r="C29" s="45"/>
      <c r="D29" s="503"/>
      <c r="E29" s="503"/>
      <c r="F29" s="503"/>
      <c r="G29" s="45"/>
      <c r="H29" s="65"/>
      <c r="I29" s="65"/>
      <c r="J29" s="65"/>
      <c r="K29" s="22"/>
      <c r="L29" s="23"/>
    </row>
    <row r="30" spans="2:15" ht="20.149999999999999" customHeight="1" x14ac:dyDescent="0.45">
      <c r="B30" s="21"/>
      <c r="C30" s="45"/>
      <c r="D30" s="503"/>
      <c r="E30" s="503"/>
      <c r="F30" s="503"/>
      <c r="G30" s="45"/>
      <c r="H30" s="65"/>
      <c r="I30" s="65"/>
      <c r="J30" s="65"/>
      <c r="K30" s="22"/>
      <c r="L30" s="23"/>
    </row>
    <row r="31" spans="2:15" ht="20.149999999999999" customHeight="1" thickBot="1" x14ac:dyDescent="0.5">
      <c r="B31" s="24"/>
      <c r="C31" s="25"/>
      <c r="D31" s="473"/>
      <c r="E31" s="473"/>
      <c r="F31" s="473"/>
      <c r="G31" s="25"/>
      <c r="H31" s="66"/>
      <c r="I31" s="66"/>
      <c r="J31" s="66"/>
      <c r="K31" s="26"/>
      <c r="L31" s="27"/>
    </row>
    <row r="32" spans="2:15" ht="20.149999999999999" customHeight="1" thickBot="1" x14ac:dyDescent="0.5">
      <c r="B32" s="28"/>
      <c r="L32" s="29"/>
    </row>
    <row r="33" spans="2:12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30">
        <f>SUM(L17:L32)</f>
        <v>177.9</v>
      </c>
    </row>
    <row r="34" spans="2:12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32">
        <f>L36</f>
        <v>11.638317757009347</v>
      </c>
    </row>
    <row r="35" spans="2:12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114">
        <f>L33/107*100</f>
        <v>166.26168224299064</v>
      </c>
    </row>
    <row r="36" spans="2:12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7.0000000000000007E-2</v>
      </c>
      <c r="L36" s="44">
        <f>L35*K36</f>
        <v>11.638317757009347</v>
      </c>
    </row>
    <row r="37" spans="2:12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78" t="s">
        <v>21</v>
      </c>
      <c r="K37" s="479"/>
      <c r="L37" s="33">
        <f>L35+L36</f>
        <v>177.89999999999998</v>
      </c>
    </row>
    <row r="38" spans="2:12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2" ht="20.149999999999999" customHeight="1" x14ac:dyDescent="0.45">
      <c r="B39" s="183" t="s">
        <v>749</v>
      </c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34"/>
      <c r="C43" s="35"/>
      <c r="D43" s="35"/>
      <c r="J43" s="35"/>
      <c r="K43" s="35"/>
      <c r="L43" s="36"/>
    </row>
    <row r="44" spans="2:12" ht="20.149999999999999" customHeight="1" x14ac:dyDescent="0.45">
      <c r="B44" s="28" t="s">
        <v>24</v>
      </c>
      <c r="J44" s="60" t="s">
        <v>25</v>
      </c>
      <c r="L44" s="29"/>
    </row>
    <row r="45" spans="2:12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0"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1:F21"/>
    <mergeCell ref="I21:J21"/>
    <mergeCell ref="D22:F22"/>
    <mergeCell ref="I22:J22"/>
    <mergeCell ref="D19:F19"/>
    <mergeCell ref="I19:J19"/>
    <mergeCell ref="D20:F20"/>
    <mergeCell ref="I20:J20"/>
    <mergeCell ref="D23:F23"/>
    <mergeCell ref="I23:J23"/>
    <mergeCell ref="D24:F24"/>
    <mergeCell ref="I24:J24"/>
    <mergeCell ref="J37:K37"/>
    <mergeCell ref="D25:F25"/>
    <mergeCell ref="I25:J25"/>
    <mergeCell ref="D26:F26"/>
    <mergeCell ref="I26:J26"/>
    <mergeCell ref="D27:F27"/>
    <mergeCell ref="D28:F28"/>
    <mergeCell ref="D29:F29"/>
    <mergeCell ref="D30:F30"/>
    <mergeCell ref="D31:F31"/>
    <mergeCell ref="J33:K33"/>
    <mergeCell ref="J35:K35"/>
  </mergeCells>
  <printOptions horizontalCentered="1"/>
  <pageMargins left="0.70866141732283505" right="0.31496062992126" top="0.59055118110236204" bottom="0" header="0.31496062992126" footer="0.31496062992126"/>
  <pageSetup paperSize="9" scale="75" fitToHeight="0" orientation="portrait" horizontalDpi="300" verticalDpi="300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92C3F-6C15-4D42-AA37-C3BC650BA168}">
  <sheetPr codeName="Sheet20">
    <tabColor rgb="FF7030A0"/>
    <pageSetUpPr fitToPage="1"/>
  </sheetPr>
  <dimension ref="B1:O46"/>
  <sheetViews>
    <sheetView workbookViewId="0">
      <selection activeCell="B1" sqref="B1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1211</v>
      </c>
      <c r="J10" s="17" t="s">
        <v>26</v>
      </c>
      <c r="K10" s="455">
        <v>202203129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>
        <v>44776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122" t="s">
        <v>3</v>
      </c>
      <c r="D17" s="553" t="s">
        <v>4</v>
      </c>
      <c r="E17" s="553"/>
      <c r="F17" s="553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924</v>
      </c>
      <c r="D18" s="430" t="str">
        <f>VLOOKUP(C18,'Sales Master'!B$3:D$642,2,0)</f>
        <v>Red Bean 红豆</v>
      </c>
      <c r="E18" s="430"/>
      <c r="F18" s="430"/>
      <c r="G18" s="45">
        <v>1</v>
      </c>
      <c r="H18" s="65" t="str">
        <f>VLOOKUP(C18,'Sales Master'!B$3:F$936,5,0)</f>
        <v>5 kgs</v>
      </c>
      <c r="I18" s="431" t="str">
        <f>VLOOKUP(C18,'Sales Master'!B$3:E$936,4,0)</f>
        <v>-</v>
      </c>
      <c r="J18" s="431"/>
      <c r="K18" s="22">
        <f>VLOOKUP(C18,'Sales Master'!B$3:EG$536,136,0)</f>
        <v>20</v>
      </c>
      <c r="L18" s="23">
        <f t="shared" ref="L18:L25" si="0">K18*G18</f>
        <v>20</v>
      </c>
    </row>
    <row r="19" spans="2:15" ht="20.149999999999999" customHeight="1" x14ac:dyDescent="0.45">
      <c r="B19" s="21"/>
      <c r="C19" s="45" t="s">
        <v>937</v>
      </c>
      <c r="D19" s="430" t="str">
        <f>VLOOKUP(C19,'Sales Master'!B$3:D$642,2,0)</f>
        <v>Green Bean 绿豆</v>
      </c>
      <c r="E19" s="430"/>
      <c r="F19" s="430"/>
      <c r="G19" s="45">
        <v>1</v>
      </c>
      <c r="H19" s="65" t="str">
        <f>VLOOKUP(C19,'Sales Master'!B$3:F$936,5,0)</f>
        <v>5 KGS</v>
      </c>
      <c r="I19" s="431" t="str">
        <f>VLOOKUP(C19,'Sales Master'!B$3:E$936,4,0)</f>
        <v>-</v>
      </c>
      <c r="J19" s="431"/>
      <c r="K19" s="22">
        <f>VLOOKUP(C19,'Sales Master'!B$3:EG$536,136,0)</f>
        <v>14</v>
      </c>
      <c r="L19" s="23">
        <f t="shared" si="0"/>
        <v>14</v>
      </c>
    </row>
    <row r="20" spans="2:15" ht="20.149999999999999" customHeight="1" x14ac:dyDescent="0.45">
      <c r="B20" s="21"/>
      <c r="C20" s="45" t="s">
        <v>966</v>
      </c>
      <c r="D20" s="430" t="str">
        <f>VLOOKUP(C20,'Sales Master'!B$3:D$642,2,0)</f>
        <v>Small Sago 小丸</v>
      </c>
      <c r="E20" s="430"/>
      <c r="F20" s="430"/>
      <c r="G20" s="45">
        <v>1</v>
      </c>
      <c r="H20" s="65" t="str">
        <f>VLOOKUP(C20,'Sales Master'!B$3:F$936,5,0)</f>
        <v>1 kg</v>
      </c>
      <c r="I20" s="431" t="str">
        <f>VLOOKUP(C20,'Sales Master'!B$3:E$936,4,0)</f>
        <v>SW</v>
      </c>
      <c r="J20" s="431"/>
      <c r="K20" s="22">
        <f>VLOOKUP(C20,'Sales Master'!B$3:EG$536,136,0)</f>
        <v>2.2999999999999998</v>
      </c>
      <c r="L20" s="23">
        <f t="shared" si="0"/>
        <v>2.2999999999999998</v>
      </c>
    </row>
    <row r="21" spans="2:15" ht="20.149999999999999" customHeight="1" x14ac:dyDescent="0.45">
      <c r="B21" s="21"/>
      <c r="C21" s="45" t="s">
        <v>1083</v>
      </c>
      <c r="D21" s="430" t="e">
        <f>VLOOKUP(C21,'Sales Master'!B$3:D$642,2,0)</f>
        <v>#N/A</v>
      </c>
      <c r="E21" s="430"/>
      <c r="F21" s="430"/>
      <c r="G21" s="45">
        <v>4</v>
      </c>
      <c r="H21" s="65" t="e">
        <f>VLOOKUP(C21,'Sales Master'!B$3:F$936,5,0)</f>
        <v>#N/A</v>
      </c>
      <c r="I21" s="431" t="e">
        <f>VLOOKUP(C21,'Sales Master'!B$3:E$936,4,0)</f>
        <v>#N/A</v>
      </c>
      <c r="J21" s="431"/>
      <c r="K21" s="22" t="e">
        <f>VLOOKUP(C21,'Sales Master'!B$3:EG$536,136,0)</f>
        <v>#N/A</v>
      </c>
      <c r="L21" s="23" t="e">
        <f t="shared" si="0"/>
        <v>#N/A</v>
      </c>
    </row>
    <row r="22" spans="2:15" ht="20.149999999999999" customHeight="1" x14ac:dyDescent="0.45">
      <c r="B22" s="21"/>
      <c r="C22" s="45" t="s">
        <v>1077</v>
      </c>
      <c r="D22" s="430" t="str">
        <f>VLOOKUP(C22,'Sales Master'!B$3:D$642,2,0)</f>
        <v>Brown Sugar 黑糖</v>
      </c>
      <c r="E22" s="430"/>
      <c r="F22" s="430"/>
      <c r="G22" s="45">
        <v>1</v>
      </c>
      <c r="H22" s="65" t="str">
        <f>VLOOKUP(C22,'Sales Master'!B$3:F$936,5,0)</f>
        <v>6 kgs</v>
      </c>
      <c r="I22" s="431" t="str">
        <f>VLOOKUP(C22,'Sales Master'!B$3:E$936,4,0)</f>
        <v>Star</v>
      </c>
      <c r="J22" s="431"/>
      <c r="K22" s="22">
        <f>VLOOKUP(C22,'Sales Master'!B$3:EG$536,136,0)</f>
        <v>13.5</v>
      </c>
      <c r="L22" s="23">
        <f t="shared" si="0"/>
        <v>13.5</v>
      </c>
    </row>
    <row r="23" spans="2:15" ht="20.149999999999999" customHeight="1" x14ac:dyDescent="0.45">
      <c r="B23" s="21"/>
      <c r="C23" s="45" t="s">
        <v>1059</v>
      </c>
      <c r="D23" s="430" t="str">
        <f>VLOOKUP(C23,'Sales Master'!B$3:D$642,2,0)</f>
        <v>Coconut Milk 椰浆</v>
      </c>
      <c r="E23" s="430"/>
      <c r="F23" s="430"/>
      <c r="G23" s="45">
        <v>1</v>
      </c>
      <c r="H23" s="65" t="str">
        <f>VLOOKUP(C23,'Sales Master'!B$3:F$936,5,0)</f>
        <v>(1L x 12bag)/箱</v>
      </c>
      <c r="I23" s="431" t="str">
        <f>VLOOKUP(C23,'Sales Master'!B$3:E$936,4,0)</f>
        <v>Kara UHT</v>
      </c>
      <c r="J23" s="431"/>
      <c r="K23" s="22">
        <f>VLOOKUP(C23,'Sales Master'!B$3:EG$536,136,0)</f>
        <v>42</v>
      </c>
      <c r="L23" s="23">
        <f t="shared" si="0"/>
        <v>42</v>
      </c>
    </row>
    <row r="24" spans="2:15" ht="20.149999999999999" customHeight="1" x14ac:dyDescent="0.45">
      <c r="B24" s="21"/>
      <c r="C24" s="45" t="s">
        <v>1098</v>
      </c>
      <c r="D24" s="430" t="str">
        <f>VLOOKUP(C24,'Sales Master'!B$3:D$642,2,0)</f>
        <v>Pandan Leaf 班兰叶</v>
      </c>
      <c r="E24" s="430"/>
      <c r="F24" s="430"/>
      <c r="G24" s="45">
        <v>0</v>
      </c>
      <c r="H24" s="65" t="str">
        <f>VLOOKUP(C24,'Sales Master'!B$3:F$936,5,0)</f>
        <v>1 kg</v>
      </c>
      <c r="I24" s="431" t="str">
        <f>VLOOKUP(C24,'Sales Master'!B$3:E$936,4,0)</f>
        <v>-</v>
      </c>
      <c r="J24" s="431"/>
      <c r="K24" s="22">
        <f>VLOOKUP(C24,'Sales Master'!B$3:EG$536,136,0)</f>
        <v>0</v>
      </c>
      <c r="L24" s="23">
        <f t="shared" si="0"/>
        <v>0</v>
      </c>
    </row>
    <row r="25" spans="2:15" ht="20.149999999999999" customHeight="1" x14ac:dyDescent="0.45">
      <c r="B25" s="21"/>
      <c r="C25" s="45" t="s">
        <v>1224</v>
      </c>
      <c r="D25" s="430" t="str">
        <f>VLOOKUP(C25,'Sales Master'!B$3:D$642,2,0)</f>
        <v>Orange Peel 陈皮</v>
      </c>
      <c r="E25" s="430"/>
      <c r="F25" s="430"/>
      <c r="G25" s="45">
        <v>1</v>
      </c>
      <c r="H25" s="65" t="str">
        <f>VLOOKUP(C25,'Sales Master'!B$3:F$936,5,0)</f>
        <v>200 GMS</v>
      </c>
      <c r="I25" s="431" t="str">
        <f>VLOOKUP(C25,'Sales Master'!B$3:E$936,4,0)</f>
        <v>-</v>
      </c>
      <c r="J25" s="431"/>
      <c r="K25" s="22">
        <f>VLOOKUP(C25,'Sales Master'!B$3:EG$536,136,0)</f>
        <v>1.8</v>
      </c>
      <c r="L25" s="23">
        <f t="shared" si="0"/>
        <v>1.8</v>
      </c>
    </row>
    <row r="26" spans="2:15" ht="20.149999999999999" customHeight="1" x14ac:dyDescent="0.45">
      <c r="B26" s="21"/>
      <c r="C26" s="45"/>
      <c r="D26" s="503"/>
      <c r="E26" s="503"/>
      <c r="F26" s="503"/>
      <c r="G26" s="45"/>
      <c r="H26" s="65"/>
      <c r="I26" s="431"/>
      <c r="J26" s="431"/>
      <c r="K26" s="22"/>
      <c r="L26" s="23"/>
    </row>
    <row r="27" spans="2:15" ht="20.149999999999999" customHeight="1" x14ac:dyDescent="0.45">
      <c r="B27" s="21"/>
      <c r="C27" s="45"/>
      <c r="D27" s="503"/>
      <c r="E27" s="503"/>
      <c r="F27" s="503"/>
      <c r="G27" s="45"/>
      <c r="H27" s="65"/>
      <c r="I27" s="431"/>
      <c r="J27" s="431"/>
      <c r="K27" s="22"/>
      <c r="L27" s="23"/>
    </row>
    <row r="28" spans="2:15" ht="20.149999999999999" customHeight="1" x14ac:dyDescent="0.45">
      <c r="B28" s="21"/>
      <c r="C28" s="45"/>
      <c r="D28" s="503"/>
      <c r="E28" s="503"/>
      <c r="F28" s="503"/>
      <c r="G28" s="45"/>
      <c r="H28" s="65"/>
      <c r="I28" s="65"/>
      <c r="J28" s="65"/>
      <c r="K28" s="22"/>
      <c r="L28" s="23"/>
    </row>
    <row r="29" spans="2:15" ht="20.149999999999999" customHeight="1" x14ac:dyDescent="0.45">
      <c r="B29" s="21"/>
      <c r="C29" s="45"/>
      <c r="D29" s="503"/>
      <c r="E29" s="503"/>
      <c r="F29" s="503"/>
      <c r="G29" s="45"/>
      <c r="H29" s="65"/>
      <c r="I29" s="65"/>
      <c r="J29" s="65"/>
      <c r="K29" s="22"/>
      <c r="L29" s="23"/>
    </row>
    <row r="30" spans="2:15" ht="20.149999999999999" customHeight="1" x14ac:dyDescent="0.45">
      <c r="B30" s="21"/>
      <c r="C30" s="45"/>
      <c r="D30" s="503"/>
      <c r="E30" s="503"/>
      <c r="F30" s="503"/>
      <c r="G30" s="45"/>
      <c r="H30" s="65"/>
      <c r="I30" s="65"/>
      <c r="J30" s="65"/>
      <c r="K30" s="22"/>
      <c r="L30" s="23"/>
    </row>
    <row r="31" spans="2:15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15" ht="20.149999999999999" customHeight="1" thickBot="1" x14ac:dyDescent="0.5">
      <c r="B32" s="24"/>
      <c r="C32" s="25"/>
      <c r="D32" s="473"/>
      <c r="E32" s="473"/>
      <c r="F32" s="473"/>
      <c r="G32" s="25"/>
      <c r="H32" s="66"/>
      <c r="I32" s="66"/>
      <c r="J32" s="66"/>
      <c r="K32" s="26"/>
      <c r="L32" s="27"/>
    </row>
    <row r="33" spans="2:12" ht="20.149999999999999" customHeight="1" thickBot="1" x14ac:dyDescent="0.5">
      <c r="B33" s="28"/>
      <c r="L33" s="29"/>
    </row>
    <row r="34" spans="2:12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 t="e">
        <f>SUM(L17:L33)</f>
        <v>#N/A</v>
      </c>
    </row>
    <row r="35" spans="2:12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 t="e">
        <f>L37</f>
        <v>#N/A</v>
      </c>
    </row>
    <row r="36" spans="2:12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 t="e">
        <f>L34/107*100</f>
        <v>#N/A</v>
      </c>
    </row>
    <row r="37" spans="2:12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7.0000000000000007E-2</v>
      </c>
      <c r="L37" s="44" t="e">
        <f>L36*K37</f>
        <v>#N/A</v>
      </c>
    </row>
    <row r="38" spans="2:12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 t="e">
        <f>L36+L37</f>
        <v>#N/A</v>
      </c>
    </row>
    <row r="39" spans="2:12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2" ht="20.149999999999999" customHeight="1" x14ac:dyDescent="0.45">
      <c r="B40" s="183" t="s">
        <v>749</v>
      </c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28"/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34"/>
      <c r="C44" s="35"/>
      <c r="D44" s="35"/>
      <c r="J44" s="35"/>
      <c r="K44" s="35"/>
      <c r="L44" s="36"/>
    </row>
    <row r="45" spans="2:12" ht="20.149999999999999" customHeight="1" x14ac:dyDescent="0.45">
      <c r="B45" s="28" t="s">
        <v>24</v>
      </c>
      <c r="J45" s="60" t="s">
        <v>25</v>
      </c>
      <c r="L45" s="29"/>
    </row>
    <row r="46" spans="2:12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42">
    <mergeCell ref="J38:K38"/>
    <mergeCell ref="D26:F26"/>
    <mergeCell ref="I26:J26"/>
    <mergeCell ref="D27:F27"/>
    <mergeCell ref="I27:J27"/>
    <mergeCell ref="D28:F28"/>
    <mergeCell ref="D29:F29"/>
    <mergeCell ref="D30:F30"/>
    <mergeCell ref="D31:F31"/>
    <mergeCell ref="D32:F32"/>
    <mergeCell ref="J34:K34"/>
    <mergeCell ref="J36:K36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rintOptions horizontalCentered="1"/>
  <pageMargins left="0.70866141732283505" right="0.31496062992126" top="0.59055118110236204" bottom="0" header="0.31496062992126" footer="0.31496062992126"/>
  <pageSetup paperSize="9" scale="75" fitToHeight="0" orientation="portrait" horizontalDpi="300" verticalDpi="30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67FF7-B1E1-41CB-8D3D-DF061E20DEC5}">
  <sheetPr codeName="Sheet29">
    <tabColor rgb="FF7030A0"/>
    <pageSetUpPr fitToPage="1"/>
  </sheetPr>
  <dimension ref="B1:P50"/>
  <sheetViews>
    <sheetView topLeftCell="B1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436</v>
      </c>
      <c r="J10" s="17" t="s">
        <v>26</v>
      </c>
      <c r="K10" s="455">
        <v>202112254</v>
      </c>
      <c r="L10" s="456"/>
    </row>
    <row r="11" spans="2:14" ht="20.149999999999999" customHeight="1" x14ac:dyDescent="0.45">
      <c r="B11" s="480" t="s">
        <v>624</v>
      </c>
      <c r="C11" s="481"/>
      <c r="D11" s="482"/>
      <c r="E11" s="61"/>
      <c r="F11" s="444" t="str">
        <f>VLOOKUP(H10,'Delivery Location'!A$4:N$423,2,0)</f>
        <v>Granny 面煎糕                                      Blk. 630 Bedok Reservoir Road #01-30 Singapore 470630</v>
      </c>
      <c r="G11" s="445"/>
      <c r="H11" s="446"/>
      <c r="J11" s="18" t="s">
        <v>9</v>
      </c>
      <c r="K11" s="502" t="s">
        <v>1222</v>
      </c>
      <c r="L11" s="466"/>
      <c r="N11" s="60">
        <v>70</v>
      </c>
    </row>
    <row r="12" spans="2:14" ht="20.149999999999999" customHeight="1" x14ac:dyDescent="0.45">
      <c r="B12" s="462" t="s">
        <v>355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N12" s="60">
        <f>5000/170</f>
        <v>29.411764705882351</v>
      </c>
    </row>
    <row r="13" spans="2:14" ht="20.149999999999999" customHeight="1" x14ac:dyDescent="0.45">
      <c r="B13" s="462" t="s">
        <v>356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  <c r="N13" s="60">
        <f>29*2.4</f>
        <v>69.599999999999994</v>
      </c>
    </row>
    <row r="14" spans="2:14" ht="20.149999999999999" customHeight="1" x14ac:dyDescent="0.45">
      <c r="B14" s="462" t="s">
        <v>357</v>
      </c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 t="s">
        <v>625</v>
      </c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1080</v>
      </c>
      <c r="D18" s="430" t="str">
        <f>VLOOKUP(C18,'Sales Master'!B$3:D$644,2,0)</f>
        <v>Fine Sugar 白糖</v>
      </c>
      <c r="E18" s="430"/>
      <c r="F18" s="430"/>
      <c r="G18" s="45">
        <v>2</v>
      </c>
      <c r="H18" s="65" t="str">
        <f>VLOOKUP(C18,'Sales Master'!B$3:F$936,5,0)</f>
        <v>25 KGS</v>
      </c>
      <c r="I18" s="431" t="str">
        <f>VLOOKUP(C18,'Sales Master'!B$3:E$936,4,0)</f>
        <v>MITR PHOL</v>
      </c>
      <c r="J18" s="431"/>
      <c r="K18" s="22">
        <v>26</v>
      </c>
      <c r="L18" s="71">
        <f>K18*G18</f>
        <v>52</v>
      </c>
      <c r="N18" s="247">
        <f>VLOOKUP(C18,'Sales Master'!$B$3:$FA$3051,156,0)</f>
        <v>26.784000000000002</v>
      </c>
      <c r="O18" s="247">
        <f>K18-N18</f>
        <v>-0.78400000000000247</v>
      </c>
      <c r="P18" s="247">
        <f>O18*G18</f>
        <v>-1.5680000000000049</v>
      </c>
    </row>
    <row r="19" spans="2:16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6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6" ht="20.149999999999999" customHeight="1" x14ac:dyDescent="0.45">
      <c r="B22" s="21"/>
      <c r="C22" s="437" t="s">
        <v>1220</v>
      </c>
      <c r="D22" s="437"/>
      <c r="E22" s="437"/>
      <c r="F22" s="437"/>
      <c r="G22" s="437"/>
      <c r="H22" s="65"/>
      <c r="I22" s="431"/>
      <c r="J22" s="431"/>
      <c r="K22" s="22"/>
      <c r="L22" s="71"/>
    </row>
    <row r="23" spans="2:16" ht="20.149999999999999" customHeight="1" x14ac:dyDescent="0.45">
      <c r="B23" s="70"/>
      <c r="C23" s="45" t="s">
        <v>1080</v>
      </c>
      <c r="D23" s="430" t="str">
        <f>VLOOKUP(C23,'Sales Master'!B$3:D$644,2,0)</f>
        <v>Fine Sugar 白糖</v>
      </c>
      <c r="E23" s="430"/>
      <c r="F23" s="430"/>
      <c r="G23" s="45">
        <v>1</v>
      </c>
      <c r="H23" s="65" t="str">
        <f>VLOOKUP(C23,'Sales Master'!B$3:F$936,5,0)</f>
        <v>25 KGS</v>
      </c>
      <c r="I23" s="431" t="str">
        <f>VLOOKUP(C23,'Sales Master'!B$3:E$936,4,0)</f>
        <v>MITR PHOL</v>
      </c>
      <c r="J23" s="431"/>
      <c r="K23" s="22">
        <v>26</v>
      </c>
      <c r="L23" s="71"/>
    </row>
    <row r="24" spans="2:16" ht="20.149999999999999" customHeight="1" x14ac:dyDescent="0.45">
      <c r="B24" s="70"/>
      <c r="C24" s="45"/>
      <c r="D24" s="69"/>
      <c r="E24" s="69"/>
      <c r="F24" s="69"/>
      <c r="G24" s="45"/>
      <c r="H24" s="65"/>
      <c r="I24" s="431"/>
      <c r="J24" s="431"/>
      <c r="K24" s="22"/>
      <c r="L24" s="71"/>
    </row>
    <row r="25" spans="2:16" ht="20.149999999999999" customHeight="1" x14ac:dyDescent="0.45">
      <c r="B25" s="70"/>
      <c r="C25" s="45"/>
      <c r="D25" s="69"/>
      <c r="E25" s="69"/>
      <c r="F25" s="69"/>
      <c r="G25" s="45"/>
      <c r="H25" s="65"/>
      <c r="I25" s="431"/>
      <c r="J25" s="431"/>
      <c r="K25" s="22"/>
      <c r="L25" s="71"/>
    </row>
    <row r="26" spans="2:16" ht="20.149999999999999" customHeight="1" x14ac:dyDescent="0.45">
      <c r="B26" s="70"/>
      <c r="C26" s="45"/>
      <c r="D26" s="69"/>
      <c r="E26" s="69"/>
      <c r="F26" s="69"/>
      <c r="G26" s="45"/>
      <c r="H26" s="65"/>
      <c r="I26" s="431"/>
      <c r="J26" s="431"/>
      <c r="K26" s="22"/>
      <c r="L26" s="71"/>
    </row>
    <row r="27" spans="2:16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6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6" ht="20.149999999999999" customHeight="1" x14ac:dyDescent="0.45">
      <c r="B29" s="21"/>
      <c r="C29" s="45"/>
      <c r="D29" s="503"/>
      <c r="E29" s="503"/>
      <c r="F29" s="503"/>
      <c r="G29" s="45"/>
      <c r="H29" s="65"/>
      <c r="I29" s="431"/>
      <c r="J29" s="431"/>
      <c r="K29" s="22"/>
      <c r="L29" s="23"/>
    </row>
    <row r="30" spans="2:16" ht="20.149999999999999" customHeight="1" x14ac:dyDescent="0.45">
      <c r="B30" s="21"/>
      <c r="C30" s="45"/>
      <c r="D30" s="503"/>
      <c r="E30" s="503"/>
      <c r="F30" s="503"/>
      <c r="G30" s="45"/>
      <c r="H30" s="65"/>
      <c r="I30" s="431"/>
      <c r="J30" s="431"/>
      <c r="K30" s="22"/>
      <c r="L30" s="23"/>
    </row>
    <row r="31" spans="2:16" ht="20.149999999999999" customHeight="1" x14ac:dyDescent="0.45">
      <c r="B31" s="21"/>
      <c r="C31" s="45"/>
      <c r="D31" s="503"/>
      <c r="E31" s="503"/>
      <c r="F31" s="503"/>
      <c r="G31" s="45"/>
      <c r="H31" s="65"/>
      <c r="I31" s="431"/>
      <c r="J31" s="431"/>
      <c r="K31" s="22"/>
      <c r="L31" s="23"/>
    </row>
    <row r="32" spans="2:16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4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4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</row>
    <row r="35" spans="2:14" ht="20.149999999999999" customHeight="1" x14ac:dyDescent="0.45">
      <c r="B35" s="21"/>
      <c r="C35" s="45"/>
      <c r="D35" s="503"/>
      <c r="E35" s="503"/>
      <c r="F35" s="503"/>
      <c r="G35" s="45"/>
      <c r="H35" s="65"/>
      <c r="I35" s="65"/>
      <c r="J35" s="65"/>
      <c r="K35" s="22"/>
      <c r="L35" s="23"/>
    </row>
    <row r="36" spans="2:14" ht="20.149999999999999" customHeight="1" thickBot="1" x14ac:dyDescent="0.5">
      <c r="B36" s="24"/>
      <c r="C36" s="25"/>
      <c r="D36" s="473"/>
      <c r="E36" s="473"/>
      <c r="F36" s="473"/>
      <c r="G36" s="25"/>
      <c r="H36" s="66"/>
      <c r="I36" s="66"/>
      <c r="J36" s="66"/>
      <c r="K36" s="26"/>
      <c r="L36" s="27"/>
    </row>
    <row r="37" spans="2:14" ht="20.149999999999999" customHeight="1" thickBot="1" x14ac:dyDescent="0.5">
      <c r="B37" s="28"/>
      <c r="L37" s="29"/>
    </row>
    <row r="38" spans="2:14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474" t="s">
        <v>13</v>
      </c>
      <c r="K38" s="475"/>
      <c r="L38" s="30">
        <f>SUM(L16:L37)</f>
        <v>52</v>
      </c>
      <c r="M38" s="95">
        <f>P18-L39</f>
        <v>-4.9698691588785096</v>
      </c>
      <c r="N38" s="248">
        <f>M38/L38</f>
        <v>-9.5574406901509798E-2</v>
      </c>
    </row>
    <row r="39" spans="2:14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0" t="s">
        <v>553</v>
      </c>
      <c r="K39" s="113">
        <v>6.54E-2</v>
      </c>
      <c r="L39" s="32">
        <f>L41</f>
        <v>3.4018691588785051</v>
      </c>
    </row>
    <row r="40" spans="2:14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476" t="s">
        <v>555</v>
      </c>
      <c r="K40" s="477"/>
      <c r="L40" s="114">
        <f>L38/107*100</f>
        <v>48.598130841121495</v>
      </c>
    </row>
    <row r="41" spans="2:14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1" t="s">
        <v>554</v>
      </c>
      <c r="K41" s="112">
        <v>7.0000000000000007E-2</v>
      </c>
      <c r="L41" s="44">
        <f>L40*K41</f>
        <v>3.4018691588785051</v>
      </c>
    </row>
    <row r="42" spans="2:14" ht="20.149999999999999" customHeight="1" thickBot="1" x14ac:dyDescent="0.5">
      <c r="B42" s="11" t="s">
        <v>748</v>
      </c>
      <c r="C42" s="10"/>
      <c r="D42" s="10"/>
      <c r="E42" s="10"/>
      <c r="F42" s="10"/>
      <c r="G42" s="10"/>
      <c r="H42" s="10"/>
      <c r="I42" s="10"/>
      <c r="J42" s="478" t="s">
        <v>21</v>
      </c>
      <c r="K42" s="479"/>
      <c r="L42" s="33">
        <f>L40+L41</f>
        <v>52</v>
      </c>
    </row>
    <row r="43" spans="2:14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4" ht="20.149999999999999" customHeight="1" x14ac:dyDescent="0.45">
      <c r="B44" s="183" t="s">
        <v>749</v>
      </c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28"/>
      <c r="L46" s="29"/>
    </row>
    <row r="47" spans="2:14" ht="20.149999999999999" customHeight="1" x14ac:dyDescent="0.45">
      <c r="B47" s="28"/>
      <c r="L47" s="29"/>
    </row>
    <row r="48" spans="2:14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48">
    <mergeCell ref="J42:K42"/>
    <mergeCell ref="D34:F34"/>
    <mergeCell ref="D35:F35"/>
    <mergeCell ref="D36:F36"/>
    <mergeCell ref="J38:K38"/>
    <mergeCell ref="J40:K40"/>
    <mergeCell ref="D33:F33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D18:F18"/>
    <mergeCell ref="I18:J18"/>
    <mergeCell ref="I25:J25"/>
    <mergeCell ref="D19:F19"/>
    <mergeCell ref="I19:J19"/>
    <mergeCell ref="D20:F20"/>
    <mergeCell ref="I20:J20"/>
    <mergeCell ref="D21:F21"/>
    <mergeCell ref="I21:J21"/>
    <mergeCell ref="I22:J22"/>
    <mergeCell ref="D23:F23"/>
    <mergeCell ref="I23:J23"/>
    <mergeCell ref="I24:J24"/>
    <mergeCell ref="C22:G22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5118110236220497" bottom="0" header="0.31496062992126" footer="0.31496062992126"/>
  <pageSetup paperSize="9" scale="75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BCD28-0C22-4982-A715-5A00503F0E27}">
  <sheetPr codeName="Sheet142">
    <tabColor rgb="FF7030A0"/>
    <pageSetUpPr fitToPage="1"/>
  </sheetPr>
  <dimension ref="B1:W57"/>
  <sheetViews>
    <sheetView topLeftCell="A18"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5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5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5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5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5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5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5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1336</v>
      </c>
      <c r="J10" s="17" t="s">
        <v>26</v>
      </c>
      <c r="K10" s="455">
        <v>202309476</v>
      </c>
      <c r="L10" s="456"/>
      <c r="N10" s="60" t="s">
        <v>1160</v>
      </c>
      <c r="O10" s="60" t="s">
        <v>1362</v>
      </c>
    </row>
    <row r="11" spans="2:15" ht="20.149999999999999" customHeight="1" x14ac:dyDescent="0.45">
      <c r="B11" s="480" t="s">
        <v>362</v>
      </c>
      <c r="C11" s="481"/>
      <c r="D11" s="482"/>
      <c r="E11" s="61"/>
      <c r="F11" s="444" t="str">
        <f>VLOOKUP(H10,'Delivery Location'!A$4:N$423,2,0)</f>
        <v xml:space="preserve">美林 A2                                                    38A, Margaret Drive #02-28   Singapore 142038      </v>
      </c>
      <c r="G11" s="445"/>
      <c r="H11" s="446"/>
      <c r="J11" s="18" t="s">
        <v>9</v>
      </c>
      <c r="K11" s="460">
        <v>45189</v>
      </c>
      <c r="L11" s="461"/>
      <c r="N11" s="60" t="s">
        <v>1350</v>
      </c>
      <c r="O11" s="60" t="s">
        <v>275</v>
      </c>
    </row>
    <row r="12" spans="2:15" ht="20.149999999999999" customHeight="1" x14ac:dyDescent="0.45">
      <c r="B12" s="462" t="s">
        <v>1340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N12" s="60" t="s">
        <v>1219</v>
      </c>
    </row>
    <row r="13" spans="2:15" ht="20.149999999999999" customHeight="1" x14ac:dyDescent="0.45">
      <c r="B13" s="462" t="s">
        <v>1339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  <c r="N13" s="60" t="s">
        <v>1112</v>
      </c>
      <c r="O13" s="60" t="s">
        <v>1203</v>
      </c>
    </row>
    <row r="14" spans="2:15" ht="20.149999999999999" customHeight="1" x14ac:dyDescent="0.45">
      <c r="B14" s="462" t="s">
        <v>415</v>
      </c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  <c r="N14" s="60" t="s">
        <v>1001</v>
      </c>
    </row>
    <row r="15" spans="2:15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3" ht="20.149999999999999" customHeight="1" x14ac:dyDescent="0.45">
      <c r="B18" s="149"/>
      <c r="C18" s="338" t="s">
        <v>1160</v>
      </c>
      <c r="D18" s="487" t="str">
        <f>VLOOKUP(C18,'Sales Master'!B$3:D$644,2,0)</f>
        <v>Citrus Plum Concentrate Juice 柑桔梅子汁</v>
      </c>
      <c r="E18" s="487"/>
      <c r="F18" s="487"/>
      <c r="G18" s="99">
        <v>15</v>
      </c>
      <c r="H18" s="206" t="str">
        <f>VLOOKUP(C18,'Sales Master'!B$3:F$936,5,0)</f>
        <v>1 KG/ Pkt包</v>
      </c>
      <c r="I18" s="491" t="str">
        <f>VLOOKUP(C18,'Sales Master'!B$3:E$936,4,0)</f>
        <v>-</v>
      </c>
      <c r="J18" s="491"/>
      <c r="K18" s="22">
        <f>VLOOKUP(C18,'Sales Master'!B$3:CI$527,86,0)</f>
        <v>8</v>
      </c>
      <c r="L18" s="71">
        <f>K18*G18</f>
        <v>120</v>
      </c>
      <c r="N18" s="247">
        <f>VLOOKUP(C18,'Sales Master'!$B$3:$FA$3051,156,0)</f>
        <v>4</v>
      </c>
      <c r="O18" s="247">
        <f>K18-N18</f>
        <v>4</v>
      </c>
      <c r="P18" s="247">
        <f>O18*G18</f>
        <v>60</v>
      </c>
    </row>
    <row r="19" spans="2:23" ht="20.149999999999999" customHeight="1" x14ac:dyDescent="0.45">
      <c r="B19" s="149"/>
      <c r="C19" s="338" t="s">
        <v>842</v>
      </c>
      <c r="D19" s="494" t="str">
        <f>VLOOKUP(C19,'Sales Master'!B$3:D$644,2,0)</f>
        <v>Sweet Potato Q - Orange 番薯粉圆</v>
      </c>
      <c r="E19" s="494"/>
      <c r="F19" s="494"/>
      <c r="G19" s="99">
        <v>1</v>
      </c>
      <c r="H19" s="206" t="str">
        <f>VLOOKUP(C19,'Sales Master'!B$3:F$936,5,0)</f>
        <v>700 GM/ Box盒</v>
      </c>
      <c r="I19" s="432" t="str">
        <f>VLOOKUP(C19,'Sales Master'!B$3:E$936,4,0)</f>
        <v>DO!</v>
      </c>
      <c r="J19" s="432"/>
      <c r="K19" s="22">
        <f>VLOOKUP(C19,'Sales Master'!B$3:CI$527,86,0)</f>
        <v>7</v>
      </c>
      <c r="L19" s="71">
        <f t="shared" ref="L19:L20" si="0">K19*G19</f>
        <v>7</v>
      </c>
      <c r="N19" s="247">
        <f>VLOOKUP(C19,'Sales Master'!$B$3:$FA$3051,156,0)</f>
        <v>1.46</v>
      </c>
      <c r="O19" s="247">
        <f t="shared" ref="O19:O20" si="1">K19-N19</f>
        <v>5.54</v>
      </c>
      <c r="P19" s="247">
        <f t="shared" ref="P19:P20" si="2">O19*G19</f>
        <v>5.54</v>
      </c>
      <c r="V19" s="60">
        <v>15</v>
      </c>
      <c r="W19" s="60">
        <v>15</v>
      </c>
    </row>
    <row r="20" spans="2:23" ht="20.149999999999999" customHeight="1" x14ac:dyDescent="0.45">
      <c r="B20" s="149"/>
      <c r="C20" s="338" t="s">
        <v>843</v>
      </c>
      <c r="D20" s="494" t="str">
        <f>VLOOKUP(C20,'Sales Master'!B$3:D$644,2,0)</f>
        <v>Sweet Potato Q - Purple 紫番薯粉圆</v>
      </c>
      <c r="E20" s="494"/>
      <c r="F20" s="494"/>
      <c r="G20" s="99">
        <v>2</v>
      </c>
      <c r="H20" s="206" t="str">
        <f>VLOOKUP(C20,'Sales Master'!B$3:F$936,5,0)</f>
        <v>700 GM/ Box盒</v>
      </c>
      <c r="I20" s="432" t="str">
        <f>VLOOKUP(C20,'Sales Master'!B$3:E$936,4,0)</f>
        <v>DO!</v>
      </c>
      <c r="J20" s="432"/>
      <c r="K20" s="22">
        <f>VLOOKUP(C20,'Sales Master'!B$3:CI$527,86,0)</f>
        <v>8</v>
      </c>
      <c r="L20" s="71">
        <f t="shared" si="0"/>
        <v>16</v>
      </c>
      <c r="N20" s="247">
        <f>VLOOKUP(C20,'Sales Master'!$B$3:$FA$3051,156,0)</f>
        <v>1.46</v>
      </c>
      <c r="O20" s="247">
        <f t="shared" si="1"/>
        <v>6.54</v>
      </c>
      <c r="P20" s="247">
        <f t="shared" si="2"/>
        <v>13.08</v>
      </c>
    </row>
    <row r="21" spans="2:23" ht="20.149999999999999" customHeight="1" x14ac:dyDescent="0.45">
      <c r="B21" s="149"/>
      <c r="C21" s="338" t="s">
        <v>844</v>
      </c>
      <c r="D21" s="430" t="str">
        <f>VLOOKUP(C21,'Sales Master'!B$3:D$644,2,0)</f>
        <v>Taro Q - White 芋头粉圆</v>
      </c>
      <c r="E21" s="430"/>
      <c r="F21" s="430"/>
      <c r="G21" s="99">
        <v>2</v>
      </c>
      <c r="H21" s="206" t="str">
        <f>VLOOKUP(C21,'Sales Master'!B$3:F$936,5,0)</f>
        <v>700 GM/ Box盒</v>
      </c>
      <c r="I21" s="432" t="str">
        <f>VLOOKUP(C21,'Sales Master'!B$3:E$936,4,0)</f>
        <v>DO!</v>
      </c>
      <c r="J21" s="432"/>
      <c r="K21" s="22">
        <f>VLOOKUP(C21,'Sales Master'!B$3:CI$527,86,0)</f>
        <v>9</v>
      </c>
      <c r="L21" s="71">
        <f t="shared" ref="L21" si="3">K21*G21</f>
        <v>18</v>
      </c>
      <c r="N21" s="247">
        <f>VLOOKUP(C21,'Sales Master'!$B$3:$FA$3051,156,0)</f>
        <v>2.82</v>
      </c>
      <c r="O21" s="247">
        <f t="shared" ref="O21" si="4">K21-N21</f>
        <v>6.18</v>
      </c>
      <c r="P21" s="247">
        <f t="shared" ref="P21" si="5">O21*G21</f>
        <v>12.36</v>
      </c>
    </row>
    <row r="22" spans="2:23" ht="20.149999999999999" customHeight="1" x14ac:dyDescent="0.45">
      <c r="B22" s="149"/>
      <c r="C22" s="338" t="s">
        <v>1020</v>
      </c>
      <c r="D22" s="430" t="str">
        <f>VLOOKUP(C22,'Sales Master'!B$3:D$644,2,0)</f>
        <v>Sea Coconut 海底椰</v>
      </c>
      <c r="E22" s="430"/>
      <c r="F22" s="430"/>
      <c r="G22" s="99">
        <v>2</v>
      </c>
      <c r="H22" s="206" t="str">
        <f>VLOOKUP(C22,'Sales Master'!B$3:F$936,5,0)</f>
        <v>1 Can X A10</v>
      </c>
      <c r="I22" s="432" t="str">
        <f>VLOOKUP(C22,'Sales Master'!B$3:E$936,4,0)</f>
        <v>Chefs</v>
      </c>
      <c r="J22" s="432"/>
      <c r="K22" s="22">
        <f>VLOOKUP(C22,'Sales Master'!B$3:CI$527,86,0)</f>
        <v>19</v>
      </c>
      <c r="L22" s="71">
        <f t="shared" ref="L22" si="6">K22*G22</f>
        <v>38</v>
      </c>
      <c r="N22" s="247">
        <f>VLOOKUP(C22,'Sales Master'!$B$3:$FA$3051,156,0)</f>
        <v>14.333333333333334</v>
      </c>
      <c r="O22" s="247">
        <f t="shared" ref="O22" si="7">K22-N22</f>
        <v>4.6666666666666661</v>
      </c>
      <c r="P22" s="247">
        <f t="shared" ref="P22" si="8">O22*G22</f>
        <v>9.3333333333333321</v>
      </c>
    </row>
    <row r="23" spans="2:23" ht="20.149999999999999" customHeight="1" x14ac:dyDescent="0.45">
      <c r="B23" s="149"/>
      <c r="C23" s="338"/>
      <c r="D23" s="430"/>
      <c r="E23" s="430"/>
      <c r="F23" s="430"/>
      <c r="G23" s="99"/>
      <c r="H23" s="206"/>
      <c r="I23" s="432"/>
      <c r="J23" s="432"/>
      <c r="K23" s="22"/>
      <c r="L23" s="71"/>
      <c r="N23" s="247"/>
      <c r="O23" s="247"/>
      <c r="P23" s="247"/>
    </row>
    <row r="24" spans="2:23" ht="20.149999999999999" customHeight="1" x14ac:dyDescent="0.45">
      <c r="B24" s="149"/>
      <c r="C24" s="338"/>
      <c r="D24" s="430"/>
      <c r="E24" s="430"/>
      <c r="F24" s="430"/>
      <c r="G24" s="99"/>
      <c r="H24" s="206"/>
      <c r="I24" s="432"/>
      <c r="J24" s="432"/>
      <c r="K24" s="22"/>
      <c r="L24" s="71"/>
      <c r="N24" s="247"/>
      <c r="O24" s="247"/>
      <c r="P24" s="247"/>
    </row>
    <row r="25" spans="2:23" ht="20.149999999999999" customHeight="1" x14ac:dyDescent="0.45">
      <c r="B25" s="149"/>
      <c r="C25" s="338"/>
      <c r="D25" s="430"/>
      <c r="E25" s="430"/>
      <c r="F25" s="430"/>
      <c r="G25" s="99"/>
      <c r="H25" s="206"/>
      <c r="I25" s="432"/>
      <c r="J25" s="432"/>
      <c r="K25" s="22"/>
      <c r="L25" s="71"/>
      <c r="N25" s="247"/>
      <c r="O25" s="247"/>
      <c r="P25" s="247"/>
    </row>
    <row r="26" spans="2:23" ht="20.149999999999999" customHeight="1" x14ac:dyDescent="0.45">
      <c r="B26" s="149"/>
      <c r="C26" s="12" t="s">
        <v>1236</v>
      </c>
      <c r="D26" s="69"/>
      <c r="E26" s="69"/>
      <c r="F26" s="69"/>
      <c r="G26" s="99"/>
      <c r="H26" s="206"/>
      <c r="I26" s="206"/>
      <c r="J26" s="206"/>
      <c r="K26" s="22"/>
      <c r="L26" s="71"/>
      <c r="N26" s="247"/>
      <c r="O26" s="247"/>
      <c r="P26" s="247"/>
    </row>
    <row r="27" spans="2:23" ht="20.149999999999999" customHeight="1" x14ac:dyDescent="0.45">
      <c r="B27" s="149"/>
      <c r="C27" s="69" t="s">
        <v>1363</v>
      </c>
      <c r="D27" s="69"/>
      <c r="E27" s="69"/>
      <c r="F27" s="69"/>
      <c r="G27" s="99"/>
      <c r="H27" s="65"/>
      <c r="I27" s="65"/>
      <c r="J27" s="65"/>
      <c r="K27" s="22"/>
      <c r="L27" s="71"/>
      <c r="N27" s="247"/>
      <c r="O27" s="247"/>
      <c r="P27" s="247"/>
    </row>
    <row r="28" spans="2:23" ht="20.149999999999999" customHeight="1" x14ac:dyDescent="0.45">
      <c r="B28" s="149"/>
      <c r="C28" s="69" t="s">
        <v>1364</v>
      </c>
      <c r="G28" s="99"/>
      <c r="H28" s="65"/>
      <c r="I28" s="206"/>
      <c r="J28" s="206"/>
      <c r="K28" s="22"/>
      <c r="L28" s="71"/>
      <c r="N28" s="247"/>
      <c r="O28" s="247"/>
      <c r="P28" s="247"/>
    </row>
    <row r="29" spans="2:23" ht="20.149999999999999" customHeight="1" x14ac:dyDescent="0.45">
      <c r="B29" s="149"/>
      <c r="K29" s="22"/>
      <c r="L29" s="71"/>
      <c r="N29" s="247"/>
      <c r="O29" s="247"/>
      <c r="P29" s="247"/>
    </row>
    <row r="30" spans="2:23" ht="20.149999999999999" customHeight="1" x14ac:dyDescent="0.45">
      <c r="B30" s="70"/>
      <c r="K30" s="22"/>
      <c r="L30" s="71"/>
      <c r="N30" s="247"/>
      <c r="O30" s="247"/>
      <c r="P30" s="247"/>
    </row>
    <row r="31" spans="2:23" ht="20.149999999999999" customHeight="1" x14ac:dyDescent="0.45">
      <c r="B31" s="70"/>
      <c r="C31" s="172" t="s">
        <v>1348</v>
      </c>
      <c r="G31" s="233"/>
      <c r="H31" s="65"/>
      <c r="I31" s="65"/>
      <c r="J31" s="65"/>
      <c r="K31" s="22"/>
      <c r="L31" s="71"/>
    </row>
    <row r="32" spans="2:23" ht="20.149999999999999" customHeight="1" x14ac:dyDescent="0.45">
      <c r="B32" s="70"/>
      <c r="C32" s="338" t="s">
        <v>1706</v>
      </c>
      <c r="D32" s="430" t="str">
        <f>VLOOKUP(C32,'Sales Master'!B$3:D$644,2,0)</f>
        <v>Fine Sugar 白糖</v>
      </c>
      <c r="E32" s="430"/>
      <c r="F32" s="430"/>
      <c r="G32" s="233">
        <v>1</v>
      </c>
      <c r="H32" s="206" t="str">
        <f>VLOOKUP(C32,'Sales Master'!B$3:F$936,5,0)</f>
        <v>5 kgs</v>
      </c>
      <c r="I32" s="432" t="str">
        <f>VLOOKUP(C32,'Sales Master'!B$3:E$936,4,0)</f>
        <v>MITR PHOL</v>
      </c>
      <c r="J32" s="432"/>
      <c r="K32" s="22">
        <v>7.8</v>
      </c>
      <c r="L32" s="71"/>
    </row>
    <row r="33" spans="2:18" ht="20.149999999999999" customHeight="1" thickBot="1" x14ac:dyDescent="0.5">
      <c r="B33" s="24"/>
      <c r="C33" s="25"/>
      <c r="D33" s="473"/>
      <c r="E33" s="473"/>
      <c r="F33" s="473"/>
      <c r="G33" s="25"/>
      <c r="H33" s="66"/>
      <c r="I33" s="66"/>
      <c r="J33" s="66"/>
      <c r="K33" s="26"/>
      <c r="L33" s="27"/>
    </row>
    <row r="34" spans="2:18" ht="20.149999999999999" customHeight="1" thickBot="1" x14ac:dyDescent="0.5">
      <c r="B34" s="28"/>
      <c r="J34" s="208"/>
      <c r="K34" s="208"/>
      <c r="L34" s="215"/>
    </row>
    <row r="35" spans="2:18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474" t="s">
        <v>13</v>
      </c>
      <c r="K35" s="475"/>
      <c r="L35" s="216">
        <f>SUM(L18:L33)</f>
        <v>199</v>
      </c>
      <c r="M35" s="95">
        <f>SUM(P13:P31)-(L35*0.02)</f>
        <v>96.333333333333329</v>
      </c>
      <c r="N35" s="248">
        <f>M35/L35</f>
        <v>0.48408710217755441</v>
      </c>
    </row>
    <row r="36" spans="2:18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0" t="s">
        <v>553</v>
      </c>
      <c r="K36" s="113">
        <v>6.54E-2</v>
      </c>
      <c r="L36" s="217">
        <f>L38</f>
        <v>14.740740740740742</v>
      </c>
    </row>
    <row r="37" spans="2:18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476" t="s">
        <v>555</v>
      </c>
      <c r="K37" s="477"/>
      <c r="L37" s="218">
        <f>L35/108*100</f>
        <v>184.25925925925927</v>
      </c>
    </row>
    <row r="38" spans="2:18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1" t="s">
        <v>554</v>
      </c>
      <c r="K38" s="112">
        <v>0.08</v>
      </c>
      <c r="L38" s="219">
        <f>L37*K38</f>
        <v>14.740740740740742</v>
      </c>
      <c r="N38" s="45"/>
      <c r="O38" s="430"/>
      <c r="P38" s="430"/>
      <c r="Q38" s="430"/>
      <c r="R38" s="99"/>
    </row>
    <row r="39" spans="2:18" ht="20.149999999999999" customHeight="1" thickBot="1" x14ac:dyDescent="0.5">
      <c r="B39" s="11" t="s">
        <v>748</v>
      </c>
      <c r="C39" s="10"/>
      <c r="D39" s="10"/>
      <c r="E39" s="10"/>
      <c r="F39" s="10"/>
      <c r="G39" s="10"/>
      <c r="H39" s="10"/>
      <c r="I39" s="10"/>
      <c r="J39" s="492" t="s">
        <v>21</v>
      </c>
      <c r="K39" s="493"/>
      <c r="L39" s="220">
        <f>L37+L38</f>
        <v>199</v>
      </c>
    </row>
    <row r="40" spans="2:18" ht="20.149999999999999" customHeight="1" thickTop="1" x14ac:dyDescent="0.45">
      <c r="B40" s="11" t="s">
        <v>23</v>
      </c>
      <c r="C40" s="10"/>
      <c r="D40" s="10"/>
      <c r="E40" s="10"/>
      <c r="F40" s="10"/>
      <c r="G40" s="10"/>
      <c r="J40" s="243"/>
      <c r="L40" s="238"/>
    </row>
    <row r="41" spans="2:18" ht="20.149999999999999" customHeight="1" x14ac:dyDescent="0.45">
      <c r="B41" s="183" t="s">
        <v>749</v>
      </c>
      <c r="J41" s="243"/>
      <c r="L41" s="238"/>
    </row>
    <row r="42" spans="2:18" ht="20.149999999999999" customHeight="1" x14ac:dyDescent="0.45">
      <c r="B42" s="28"/>
      <c r="J42" s="440"/>
      <c r="K42" s="440"/>
      <c r="L42" s="268"/>
    </row>
    <row r="43" spans="2:18" ht="20.149999999999999" customHeight="1" x14ac:dyDescent="0.45">
      <c r="B43" s="28"/>
      <c r="L43" s="221"/>
    </row>
    <row r="44" spans="2:18" ht="20.149999999999999" customHeight="1" x14ac:dyDescent="0.45">
      <c r="B44" s="28"/>
      <c r="L44" s="221"/>
    </row>
    <row r="45" spans="2:18" ht="20.149999999999999" customHeight="1" x14ac:dyDescent="0.45">
      <c r="B45" s="34"/>
      <c r="C45" s="35"/>
      <c r="D45" s="35"/>
      <c r="J45" s="35"/>
      <c r="K45" s="35"/>
      <c r="L45" s="222"/>
    </row>
    <row r="46" spans="2:18" ht="20.149999999999999" customHeight="1" x14ac:dyDescent="0.45">
      <c r="B46" s="28" t="s">
        <v>24</v>
      </c>
      <c r="J46" s="60" t="s">
        <v>25</v>
      </c>
      <c r="L46" s="29"/>
    </row>
    <row r="47" spans="2:18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9" spans="7:7" x14ac:dyDescent="0.45">
      <c r="G49" s="99"/>
    </row>
    <row r="50" spans="7:7" x14ac:dyDescent="0.45">
      <c r="G50" s="99"/>
    </row>
    <row r="51" spans="7:7" x14ac:dyDescent="0.45">
      <c r="G51" s="99"/>
    </row>
    <row r="52" spans="7:7" x14ac:dyDescent="0.45">
      <c r="G52" s="99"/>
    </row>
    <row r="53" spans="7:7" x14ac:dyDescent="0.45">
      <c r="G53" s="99"/>
    </row>
    <row r="54" spans="7:7" x14ac:dyDescent="0.45">
      <c r="G54" s="99"/>
    </row>
    <row r="55" spans="7:7" x14ac:dyDescent="0.45">
      <c r="G55" s="99"/>
    </row>
    <row r="56" spans="7:7" x14ac:dyDescent="0.45">
      <c r="G56" s="99"/>
    </row>
    <row r="57" spans="7:7" x14ac:dyDescent="0.45">
      <c r="G57" s="99"/>
    </row>
  </sheetData>
  <mergeCells count="39">
    <mergeCell ref="I24:J24"/>
    <mergeCell ref="J42:K42"/>
    <mergeCell ref="D33:F33"/>
    <mergeCell ref="J35:K35"/>
    <mergeCell ref="J37:K37"/>
    <mergeCell ref="I32:J32"/>
    <mergeCell ref="D32:F32"/>
    <mergeCell ref="K15:L15"/>
    <mergeCell ref="O38:Q38"/>
    <mergeCell ref="J39:K39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D22:F22"/>
    <mergeCell ref="I21:J21"/>
    <mergeCell ref="I22:J22"/>
    <mergeCell ref="D24:F24"/>
    <mergeCell ref="D23:F23"/>
    <mergeCell ref="I23:J23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31">
    <cfRule type="duplicateValues" dxfId="136" priority="1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E39DB-9821-4F6D-BA3B-39F2E794BF2A}">
  <sheetPr codeName="Sheet33">
    <tabColor rgb="FF7030A0"/>
    <pageSetUpPr fitToPage="1"/>
  </sheetPr>
  <dimension ref="B1:O48"/>
  <sheetViews>
    <sheetView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773</v>
      </c>
      <c r="J10" s="17" t="s">
        <v>26</v>
      </c>
      <c r="K10" s="455">
        <v>202101407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e">
        <f>VLOOKUP(H10,'Delivery Location'!A$4:N$423,2,0)</f>
        <v>#N/A</v>
      </c>
      <c r="G11" s="445"/>
      <c r="H11" s="446"/>
      <c r="J11" s="18" t="s">
        <v>9</v>
      </c>
      <c r="K11" s="502">
        <v>44222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122" t="s">
        <v>3</v>
      </c>
      <c r="D17" s="553" t="s">
        <v>4</v>
      </c>
      <c r="E17" s="553"/>
      <c r="F17" s="553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640</v>
      </c>
      <c r="D18" s="430" t="e">
        <f>VLOOKUP(C18,'Sales Master'!B$3:D$316,2,0)</f>
        <v>#N/A</v>
      </c>
      <c r="E18" s="430"/>
      <c r="F18" s="430"/>
      <c r="G18" s="45">
        <v>1</v>
      </c>
      <c r="H18" s="65" t="e">
        <f>VLOOKUP(C18,'Sales Master'!B$3:F$936,5,0)</f>
        <v>#N/A</v>
      </c>
      <c r="I18" s="431" t="e">
        <f>VLOOKUP(C18,'Sales Master'!B$3:E$936,4,0)</f>
        <v>#N/A</v>
      </c>
      <c r="J18" s="431"/>
      <c r="K18" s="22" t="e">
        <f>VLOOKUP(C18,'Sales Master'!B$3:BR$536,69,0)</f>
        <v>#N/A</v>
      </c>
      <c r="L18" s="23" t="e">
        <f>K18*G18</f>
        <v>#N/A</v>
      </c>
    </row>
    <row r="19" spans="2:15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23"/>
    </row>
    <row r="20" spans="2:15" ht="20.149999999999999" customHeight="1" x14ac:dyDescent="0.45">
      <c r="B20" s="21"/>
      <c r="C20" s="45"/>
      <c r="D20" s="503"/>
      <c r="E20" s="503"/>
      <c r="F20" s="503"/>
      <c r="G20" s="45"/>
      <c r="H20" s="65"/>
      <c r="I20" s="431"/>
      <c r="J20" s="431"/>
      <c r="K20" s="22"/>
      <c r="L20" s="23"/>
    </row>
    <row r="21" spans="2:15" ht="20.149999999999999" customHeight="1" x14ac:dyDescent="0.45">
      <c r="B21" s="21"/>
      <c r="C21" s="45"/>
      <c r="D21" s="503"/>
      <c r="E21" s="503"/>
      <c r="F21" s="503"/>
      <c r="G21" s="45"/>
      <c r="H21" s="65"/>
      <c r="I21" s="431"/>
      <c r="J21" s="431"/>
      <c r="K21" s="22"/>
      <c r="L21" s="23"/>
    </row>
    <row r="22" spans="2:15" ht="20.149999999999999" customHeight="1" x14ac:dyDescent="0.45">
      <c r="B22" s="21"/>
      <c r="C22" s="45"/>
      <c r="D22" s="503"/>
      <c r="E22" s="503"/>
      <c r="F22" s="503"/>
      <c r="G22" s="45"/>
      <c r="H22" s="65"/>
      <c r="I22" s="431"/>
      <c r="J22" s="431"/>
      <c r="K22" s="22"/>
      <c r="L22" s="23"/>
    </row>
    <row r="23" spans="2:15" ht="20.149999999999999" customHeight="1" x14ac:dyDescent="0.45">
      <c r="B23" s="21"/>
      <c r="C23" s="45"/>
      <c r="D23" s="503"/>
      <c r="E23" s="503"/>
      <c r="F23" s="503"/>
      <c r="G23" s="45"/>
      <c r="H23" s="65"/>
      <c r="I23" s="431"/>
      <c r="J23" s="431"/>
      <c r="K23" s="22"/>
      <c r="L23" s="23"/>
    </row>
    <row r="24" spans="2:15" ht="20.149999999999999" customHeight="1" x14ac:dyDescent="0.45">
      <c r="B24" s="21"/>
      <c r="C24" s="45"/>
      <c r="D24" s="503"/>
      <c r="E24" s="503"/>
      <c r="F24" s="503"/>
      <c r="G24" s="45"/>
      <c r="H24" s="65"/>
      <c r="I24" s="431"/>
      <c r="J24" s="431"/>
      <c r="K24" s="22"/>
      <c r="L24" s="23"/>
    </row>
    <row r="25" spans="2:15" ht="20.149999999999999" customHeight="1" x14ac:dyDescent="0.45">
      <c r="B25" s="21"/>
      <c r="C25" s="45"/>
      <c r="D25" s="503"/>
      <c r="E25" s="503"/>
      <c r="F25" s="503"/>
      <c r="G25" s="45"/>
      <c r="H25" s="65"/>
      <c r="I25" s="431"/>
      <c r="J25" s="431"/>
      <c r="K25" s="22"/>
      <c r="L25" s="23"/>
    </row>
    <row r="26" spans="2:15" ht="20.149999999999999" customHeight="1" x14ac:dyDescent="0.45">
      <c r="B26" s="21"/>
      <c r="C26" s="45"/>
      <c r="D26" s="503"/>
      <c r="E26" s="503"/>
      <c r="F26" s="503"/>
      <c r="G26" s="45"/>
      <c r="H26" s="65"/>
      <c r="I26" s="431"/>
      <c r="J26" s="431"/>
      <c r="K26" s="22"/>
      <c r="L26" s="23"/>
    </row>
    <row r="27" spans="2:15" ht="20.149999999999999" customHeight="1" x14ac:dyDescent="0.45">
      <c r="B27" s="21"/>
      <c r="C27" s="45"/>
      <c r="D27" s="503"/>
      <c r="E27" s="503"/>
      <c r="F27" s="503"/>
      <c r="G27" s="45"/>
      <c r="H27" s="65"/>
      <c r="I27" s="431"/>
      <c r="J27" s="431"/>
      <c r="K27" s="22"/>
      <c r="L27" s="23"/>
    </row>
    <row r="28" spans="2:15" ht="20.149999999999999" customHeight="1" x14ac:dyDescent="0.45">
      <c r="B28" s="21"/>
      <c r="C28" s="45"/>
      <c r="D28" s="503"/>
      <c r="E28" s="503"/>
      <c r="F28" s="503"/>
      <c r="G28" s="45"/>
      <c r="H28" s="65"/>
      <c r="I28" s="431"/>
      <c r="J28" s="431"/>
      <c r="K28" s="22"/>
      <c r="L28" s="23"/>
    </row>
    <row r="29" spans="2:15" ht="20.149999999999999" customHeight="1" x14ac:dyDescent="0.45">
      <c r="B29" s="21"/>
      <c r="C29" s="45"/>
      <c r="D29" s="503"/>
      <c r="E29" s="503"/>
      <c r="F29" s="503"/>
      <c r="G29" s="45"/>
      <c r="H29" s="65"/>
      <c r="I29" s="431"/>
      <c r="J29" s="431"/>
      <c r="K29" s="22"/>
      <c r="L29" s="23"/>
    </row>
    <row r="30" spans="2:15" ht="20.149999999999999" customHeight="1" x14ac:dyDescent="0.45">
      <c r="B30" s="21"/>
      <c r="C30" s="45"/>
      <c r="D30" s="503"/>
      <c r="E30" s="503"/>
      <c r="F30" s="503"/>
      <c r="G30" s="45"/>
      <c r="H30" s="65"/>
      <c r="I30" s="65"/>
      <c r="J30" s="65"/>
      <c r="K30" s="22"/>
      <c r="L30" s="23"/>
    </row>
    <row r="31" spans="2:15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15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2" ht="20.149999999999999" customHeight="1" thickBot="1" x14ac:dyDescent="0.5">
      <c r="B34" s="24"/>
      <c r="C34" s="25"/>
      <c r="D34" s="473"/>
      <c r="E34" s="473"/>
      <c r="F34" s="473"/>
      <c r="G34" s="25"/>
      <c r="H34" s="66"/>
      <c r="I34" s="66"/>
      <c r="J34" s="66"/>
      <c r="K34" s="26"/>
      <c r="L34" s="27"/>
    </row>
    <row r="35" spans="2:12" ht="20.149999999999999" customHeight="1" thickBot="1" x14ac:dyDescent="0.5">
      <c r="B35" s="28"/>
      <c r="L35" s="29"/>
    </row>
    <row r="36" spans="2:12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474" t="s">
        <v>13</v>
      </c>
      <c r="K36" s="475"/>
      <c r="L36" s="30" t="e">
        <f>SUM(L17:L35)</f>
        <v>#N/A</v>
      </c>
    </row>
    <row r="37" spans="2:12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0" t="s">
        <v>553</v>
      </c>
      <c r="K37" s="113">
        <v>6.54E-2</v>
      </c>
      <c r="L37" s="32" t="e">
        <f>L39</f>
        <v>#N/A</v>
      </c>
    </row>
    <row r="38" spans="2:12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476" t="s">
        <v>555</v>
      </c>
      <c r="K38" s="477"/>
      <c r="L38" s="114" t="e">
        <f>L36/107*100</f>
        <v>#N/A</v>
      </c>
    </row>
    <row r="39" spans="2:12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1" t="s">
        <v>554</v>
      </c>
      <c r="K39" s="112">
        <v>7.0000000000000007E-2</v>
      </c>
      <c r="L39" s="44" t="e">
        <f>L38*K39</f>
        <v>#N/A</v>
      </c>
    </row>
    <row r="40" spans="2:12" ht="20.149999999999999" customHeight="1" thickBot="1" x14ac:dyDescent="0.5">
      <c r="B40" s="11" t="s">
        <v>748</v>
      </c>
      <c r="C40" s="10"/>
      <c r="D40" s="10"/>
      <c r="E40" s="10"/>
      <c r="F40" s="10"/>
      <c r="G40" s="10"/>
      <c r="H40" s="10"/>
      <c r="I40" s="10"/>
      <c r="J40" s="478" t="s">
        <v>21</v>
      </c>
      <c r="K40" s="479"/>
      <c r="L40" s="33" t="e">
        <f>L38+L39</f>
        <v>#N/A</v>
      </c>
    </row>
    <row r="41" spans="2:12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2" ht="20.149999999999999" customHeight="1" x14ac:dyDescent="0.45">
      <c r="B42" s="183" t="s">
        <v>749</v>
      </c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34"/>
      <c r="C46" s="35"/>
      <c r="D46" s="35"/>
      <c r="J46" s="35"/>
      <c r="K46" s="35"/>
      <c r="L46" s="36"/>
    </row>
    <row r="47" spans="2:12" ht="20.149999999999999" customHeight="1" x14ac:dyDescent="0.45">
      <c r="B47" s="28" t="s">
        <v>24</v>
      </c>
      <c r="J47" s="60" t="s">
        <v>25</v>
      </c>
      <c r="L47" s="29"/>
    </row>
    <row r="48" spans="2:12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40:K40"/>
    <mergeCell ref="D28:F28"/>
    <mergeCell ref="I28:J28"/>
    <mergeCell ref="D29:F29"/>
    <mergeCell ref="I29:J29"/>
    <mergeCell ref="D30:F30"/>
    <mergeCell ref="D31:F31"/>
    <mergeCell ref="D32:F32"/>
    <mergeCell ref="D33:F33"/>
    <mergeCell ref="D34:F34"/>
    <mergeCell ref="J36:K36"/>
    <mergeCell ref="J38:K38"/>
  </mergeCells>
  <printOptions horizontalCentered="1"/>
  <pageMargins left="0.70866141732283472" right="0.31496062992125984" top="0.59055118110236227" bottom="0" header="0.31496062992125984" footer="0.31496062992125984"/>
  <pageSetup paperSize="9" scale="74" fitToHeight="0" orientation="portrait" verticalDpi="300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F37A9-8C5E-498F-868E-3B33B68BB908}">
  <sheetPr codeName="Sheet10"/>
  <dimension ref="A1"/>
  <sheetViews>
    <sheetView workbookViewId="0"/>
  </sheetViews>
  <sheetFormatPr defaultRowHeight="14.5" x14ac:dyDescent="0.3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E6CE5-1CB7-4FF6-9887-002CC2FB3DB0}">
  <sheetPr codeName="Sheet80">
    <tabColor rgb="FF7030A0"/>
    <pageSetUpPr fitToPage="1"/>
  </sheetPr>
  <dimension ref="B1:W44"/>
  <sheetViews>
    <sheetView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>
        <v>202302469</v>
      </c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505</v>
      </c>
      <c r="J10" s="17" t="s">
        <v>26</v>
      </c>
      <c r="K10" s="455">
        <v>202311096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TEL: 98193843                                        Holland Village Market and Food Centre, 1 Lorong Mambong, #01-25 Singapore 277700</v>
      </c>
      <c r="G11" s="445"/>
      <c r="H11" s="446"/>
      <c r="J11" s="18" t="s">
        <v>9</v>
      </c>
      <c r="K11" s="460">
        <v>45233</v>
      </c>
      <c r="L11" s="461"/>
      <c r="N11" s="172" t="s">
        <v>796</v>
      </c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4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3" ht="20.149999999999999" customHeight="1" x14ac:dyDescent="0.45">
      <c r="B18" s="21"/>
      <c r="C18" s="338" t="s">
        <v>819</v>
      </c>
      <c r="D18" s="495" t="str">
        <f>VLOOKUP(C18,'Sales Master'!B$3:D$644,2,0)</f>
        <v>Fresh Soursop Seedless 红毛榴莲(无)</v>
      </c>
      <c r="E18" s="495"/>
      <c r="F18" s="495"/>
      <c r="G18" s="45">
        <v>3</v>
      </c>
      <c r="H18" s="241" t="str">
        <f>VLOOKUP(C18,'Sales Master'!B$3:F$936,5,0)</f>
        <v>5 KGS/ Tub桶</v>
      </c>
      <c r="I18" s="432" t="str">
        <f>VLOOKUP(C18,'Sales Master'!B$3:E$936,4,0)</f>
        <v>DO!</v>
      </c>
      <c r="J18" s="432"/>
      <c r="K18" s="22">
        <f>VLOOKUP(C18,'Sales Master'!B$3:AX$527,49,0)</f>
        <v>38.5</v>
      </c>
      <c r="L18" s="71">
        <f>K18*G18</f>
        <v>115.5</v>
      </c>
      <c r="N18" s="247">
        <f>VLOOKUP(C18,'Sales Master'!$B$3:$FA$3051,156,0)</f>
        <v>25.4</v>
      </c>
      <c r="O18" s="247">
        <f>K18-N18</f>
        <v>13.100000000000001</v>
      </c>
      <c r="P18" s="247">
        <f>O18*G18</f>
        <v>39.300000000000004</v>
      </c>
    </row>
    <row r="19" spans="2:23" ht="20.149999999999999" customHeight="1" x14ac:dyDescent="0.45">
      <c r="B19" s="70"/>
      <c r="C19" s="338" t="s">
        <v>833</v>
      </c>
      <c r="D19" s="430" t="str">
        <f>VLOOKUP(C19,'Sales Master'!B$3:D$644,2,0)</f>
        <v>Coconut Sugar Syrup 椰糖浆</v>
      </c>
      <c r="E19" s="430"/>
      <c r="F19" s="430"/>
      <c r="G19" s="45">
        <v>2</v>
      </c>
      <c r="H19" s="241" t="str">
        <f>VLOOKUP(C19,'Sales Master'!B$3:F$936,5,0)</f>
        <v>4L/ Btl支</v>
      </c>
      <c r="I19" s="432" t="str">
        <f>VLOOKUP(C19,'Sales Master'!B$3:E$936,4,0)</f>
        <v>DO!</v>
      </c>
      <c r="J19" s="432"/>
      <c r="K19" s="22">
        <f>VLOOKUP(C19,'Sales Master'!B$3:AX$527,49,0)</f>
        <v>15</v>
      </c>
      <c r="L19" s="71">
        <f>K19*G19</f>
        <v>30</v>
      </c>
      <c r="N19" s="247">
        <f>VLOOKUP(C19,'Sales Master'!$B$3:$FA$3051,156,0)</f>
        <v>8.89</v>
      </c>
      <c r="O19" s="247">
        <f>K19-N19</f>
        <v>6.1099999999999994</v>
      </c>
      <c r="P19" s="247">
        <f>O19*G19</f>
        <v>12.219999999999999</v>
      </c>
      <c r="R19" s="60">
        <v>1</v>
      </c>
      <c r="S19" s="60" t="s">
        <v>41</v>
      </c>
      <c r="T19" s="60" t="s">
        <v>69</v>
      </c>
      <c r="V19" s="60">
        <v>8.5</v>
      </c>
      <c r="W19" s="60">
        <v>8.5</v>
      </c>
    </row>
    <row r="20" spans="2:23" ht="20.149999999999999" customHeight="1" x14ac:dyDescent="0.45">
      <c r="B20" s="70"/>
      <c r="C20" s="338" t="s">
        <v>1706</v>
      </c>
      <c r="D20" s="430" t="str">
        <f>VLOOKUP(C20,'Sales Master'!B$3:D$644,2,0)</f>
        <v>Fine Sugar 白糖</v>
      </c>
      <c r="E20" s="430"/>
      <c r="F20" s="430"/>
      <c r="G20" s="45">
        <v>3</v>
      </c>
      <c r="H20" s="241" t="str">
        <f>VLOOKUP(C20,'Sales Master'!B$3:F$936,5,0)</f>
        <v>5 kgs</v>
      </c>
      <c r="I20" s="432" t="str">
        <f>VLOOKUP(C20,'Sales Master'!B$3:E$936,4,0)</f>
        <v>MITR PHOL</v>
      </c>
      <c r="J20" s="432"/>
      <c r="K20" s="22">
        <f>VLOOKUP(C20,'Sales Master'!B$3:AX$527,49,0)</f>
        <v>8.5</v>
      </c>
      <c r="L20" s="71">
        <f>K20*G20</f>
        <v>25.5</v>
      </c>
      <c r="N20" s="247">
        <f>VLOOKUP(C20,'Sales Master'!$B$3:$FA$3051,156,0)</f>
        <v>5.3568000000000007</v>
      </c>
      <c r="O20" s="247">
        <f>K20-N20</f>
        <v>3.1431999999999993</v>
      </c>
      <c r="P20" s="247">
        <f>O20*G20</f>
        <v>9.4295999999999971</v>
      </c>
    </row>
    <row r="21" spans="2:23" ht="20.149999999999999" customHeight="1" x14ac:dyDescent="0.45">
      <c r="B21" s="70"/>
      <c r="C21" s="338"/>
      <c r="D21" s="430"/>
      <c r="E21" s="430"/>
      <c r="F21" s="430"/>
      <c r="G21" s="45"/>
      <c r="H21" s="241"/>
      <c r="I21" s="432"/>
      <c r="J21" s="432"/>
      <c r="K21" s="22"/>
      <c r="L21" s="71"/>
      <c r="N21" s="247"/>
      <c r="O21" s="247"/>
      <c r="P21" s="247"/>
    </row>
    <row r="22" spans="2:23" ht="20.149999999999999" customHeight="1" x14ac:dyDescent="0.45">
      <c r="B22" s="21"/>
      <c r="C22" s="338"/>
      <c r="D22" s="430"/>
      <c r="E22" s="430"/>
      <c r="F22" s="430"/>
      <c r="G22" s="45"/>
      <c r="H22" s="241"/>
      <c r="I22" s="432"/>
      <c r="J22" s="432"/>
      <c r="K22" s="22"/>
      <c r="L22" s="71"/>
      <c r="M22" s="94"/>
      <c r="N22" s="247"/>
      <c r="O22" s="247"/>
      <c r="P22" s="247"/>
    </row>
    <row r="23" spans="2:23" ht="20.149999999999999" customHeight="1" x14ac:dyDescent="0.45">
      <c r="B23" s="21"/>
      <c r="D23" s="69"/>
      <c r="E23" s="69"/>
      <c r="F23" s="69"/>
      <c r="G23" s="45"/>
      <c r="H23" s="65"/>
      <c r="I23" s="65"/>
      <c r="J23" s="65"/>
      <c r="K23" s="22"/>
      <c r="L23" s="71"/>
      <c r="N23" s="247"/>
      <c r="O23" s="247"/>
      <c r="P23" s="247"/>
    </row>
    <row r="24" spans="2:23" ht="20.149999999999999" customHeight="1" x14ac:dyDescent="0.45">
      <c r="B24" s="21"/>
      <c r="D24" s="69"/>
      <c r="E24" s="69"/>
      <c r="F24" s="69"/>
      <c r="G24" s="45"/>
      <c r="H24" s="65"/>
      <c r="I24" s="65"/>
      <c r="J24" s="65"/>
      <c r="K24" s="22"/>
      <c r="L24" s="71"/>
      <c r="N24" s="247"/>
      <c r="O24" s="247"/>
      <c r="P24" s="247"/>
    </row>
    <row r="25" spans="2:23" ht="20.149999999999999" customHeight="1" x14ac:dyDescent="0.45">
      <c r="B25" s="21"/>
      <c r="C25" s="140"/>
      <c r="D25" s="69"/>
      <c r="E25" s="69"/>
      <c r="F25" s="69"/>
      <c r="G25" s="45"/>
      <c r="H25" s="65"/>
      <c r="I25" s="65"/>
      <c r="J25" s="65"/>
      <c r="K25" s="22"/>
      <c r="L25" s="71"/>
      <c r="N25" s="247"/>
      <c r="O25" s="247"/>
      <c r="P25" s="247"/>
    </row>
    <row r="26" spans="2:23" ht="20.149999999999999" customHeight="1" x14ac:dyDescent="0.45">
      <c r="B26" s="21"/>
      <c r="C26" s="338"/>
      <c r="D26" s="430"/>
      <c r="E26" s="430"/>
      <c r="F26" s="430"/>
      <c r="G26" s="45"/>
      <c r="H26" s="241"/>
      <c r="I26" s="432"/>
      <c r="J26" s="432"/>
      <c r="K26" s="22"/>
      <c r="L26" s="71"/>
    </row>
    <row r="27" spans="2:23" ht="20.149999999999999" customHeight="1" x14ac:dyDescent="0.45">
      <c r="B27" s="21"/>
      <c r="C27" s="338"/>
      <c r="D27" s="430"/>
      <c r="E27" s="430"/>
      <c r="F27" s="430"/>
      <c r="G27" s="45"/>
      <c r="H27" s="241"/>
      <c r="I27" s="432"/>
      <c r="J27" s="432"/>
      <c r="K27" s="22"/>
      <c r="L27" s="71"/>
    </row>
    <row r="28" spans="2:23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  <c r="N28" s="247"/>
      <c r="O28" s="247"/>
      <c r="P28" s="247"/>
    </row>
    <row r="29" spans="2:23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23"/>
    </row>
    <row r="30" spans="2:23" ht="20.149999999999999" customHeight="1" thickBot="1" x14ac:dyDescent="0.5">
      <c r="B30" s="24"/>
      <c r="C30" s="25"/>
      <c r="D30" s="473"/>
      <c r="E30" s="473"/>
      <c r="F30" s="473"/>
      <c r="G30" s="25"/>
      <c r="H30" s="66"/>
      <c r="I30" s="66"/>
      <c r="J30" s="66"/>
      <c r="K30" s="26"/>
      <c r="L30" s="27"/>
    </row>
    <row r="31" spans="2:23" ht="20.149999999999999" customHeight="1" thickBot="1" x14ac:dyDescent="0.5">
      <c r="B31" s="28"/>
      <c r="L31" s="29"/>
    </row>
    <row r="32" spans="2:23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474" t="s">
        <v>13</v>
      </c>
      <c r="K32" s="475"/>
      <c r="L32" s="30">
        <f>SUM(L18:L31)</f>
        <v>171</v>
      </c>
      <c r="M32" s="95">
        <f>SUM(P10:P30)-L32*0.02</f>
        <v>57.529600000000002</v>
      </c>
      <c r="N32" s="405">
        <f>M32-L33</f>
        <v>44.862933333333338</v>
      </c>
    </row>
    <row r="33" spans="2:16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0" t="s">
        <v>553</v>
      </c>
      <c r="K33" s="113">
        <v>6.54E-2</v>
      </c>
      <c r="L33" s="32">
        <f>L35</f>
        <v>12.666666666666666</v>
      </c>
    </row>
    <row r="34" spans="2:16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476" t="s">
        <v>555</v>
      </c>
      <c r="K34" s="477"/>
      <c r="L34" s="114">
        <f>L32/108*100</f>
        <v>158.33333333333331</v>
      </c>
      <c r="O34" s="95"/>
    </row>
    <row r="35" spans="2:16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1" t="s">
        <v>554</v>
      </c>
      <c r="K35" s="112">
        <v>0.08</v>
      </c>
      <c r="L35" s="44">
        <f>L34*K35</f>
        <v>12.666666666666666</v>
      </c>
    </row>
    <row r="36" spans="2:16" ht="20.149999999999999" customHeight="1" thickBot="1" x14ac:dyDescent="0.5">
      <c r="B36" s="11" t="s">
        <v>748</v>
      </c>
      <c r="C36" s="10"/>
      <c r="D36" s="10"/>
      <c r="E36" s="10"/>
      <c r="F36" s="10"/>
      <c r="G36" s="10"/>
      <c r="H36" s="10"/>
      <c r="I36" s="10"/>
      <c r="J36" s="478" t="s">
        <v>21</v>
      </c>
      <c r="K36" s="479"/>
      <c r="L36" s="33">
        <f>L34+L35</f>
        <v>170.99999999999997</v>
      </c>
      <c r="O36" s="95"/>
      <c r="P36" s="95"/>
    </row>
    <row r="37" spans="2:16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29"/>
    </row>
    <row r="38" spans="2:16" ht="20.149999999999999" customHeight="1" x14ac:dyDescent="0.45">
      <c r="B38" s="183" t="s">
        <v>749</v>
      </c>
      <c r="L38" s="29"/>
    </row>
    <row r="39" spans="2:16" ht="20.149999999999999" customHeight="1" x14ac:dyDescent="0.45">
      <c r="B39" s="28"/>
      <c r="L39" s="29"/>
    </row>
    <row r="40" spans="2:16" ht="20.149999999999999" customHeight="1" x14ac:dyDescent="0.45">
      <c r="B40" s="28"/>
      <c r="L40" s="29"/>
    </row>
    <row r="41" spans="2:16" ht="20.149999999999999" customHeight="1" x14ac:dyDescent="0.45">
      <c r="B41" s="28"/>
      <c r="L41" s="29"/>
    </row>
    <row r="42" spans="2:16" ht="20.149999999999999" customHeight="1" x14ac:dyDescent="0.45">
      <c r="B42" s="34"/>
      <c r="C42" s="35"/>
      <c r="D42" s="35"/>
      <c r="J42" s="35"/>
      <c r="K42" s="35"/>
      <c r="L42" s="36"/>
    </row>
    <row r="43" spans="2:16" ht="20.149999999999999" customHeight="1" x14ac:dyDescent="0.45">
      <c r="B43" s="28" t="s">
        <v>24</v>
      </c>
      <c r="J43" s="60" t="s">
        <v>25</v>
      </c>
      <c r="L43" s="29"/>
    </row>
    <row r="44" spans="2:16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37">
    <mergeCell ref="D20:F20"/>
    <mergeCell ref="I20:J20"/>
    <mergeCell ref="J36:K36"/>
    <mergeCell ref="D30:F30"/>
    <mergeCell ref="J32:K32"/>
    <mergeCell ref="J34:K34"/>
    <mergeCell ref="D29:F29"/>
    <mergeCell ref="I22:J22"/>
    <mergeCell ref="D22:F22"/>
    <mergeCell ref="I29:J29"/>
    <mergeCell ref="I28:J28"/>
    <mergeCell ref="D28:F28"/>
    <mergeCell ref="D26:F26"/>
    <mergeCell ref="I26:J26"/>
    <mergeCell ref="D27:F27"/>
    <mergeCell ref="I27:J27"/>
    <mergeCell ref="I18:J18"/>
    <mergeCell ref="D18:F18"/>
    <mergeCell ref="D19:F19"/>
    <mergeCell ref="I19:J19"/>
    <mergeCell ref="D17:F17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30F41-8F1C-4812-A098-08D34E156643}">
  <sheetPr codeName="Sheet145">
    <tabColor rgb="FFFFC000"/>
    <pageSetUpPr fitToPage="1"/>
  </sheetPr>
  <dimension ref="B1:FA332"/>
  <sheetViews>
    <sheetView topLeftCell="A32" zoomScaleNormal="100" workbookViewId="0">
      <selection activeCell="I42" sqref="I4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17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3" width="12.54296875" style="60"/>
    <col min="14" max="16" width="12.54296875" style="60" customWidth="1"/>
    <col min="17" max="17" width="31.453125" style="60" customWidth="1"/>
    <col min="18" max="16384" width="12.54296875" style="60"/>
  </cols>
  <sheetData>
    <row r="1" spans="2:18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8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8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8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8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8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8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8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8" ht="19" thickBot="1" x14ac:dyDescent="0.5">
      <c r="B9" s="12"/>
      <c r="C9" s="60" t="s">
        <v>334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424</v>
      </c>
      <c r="J10" s="17" t="s">
        <v>26</v>
      </c>
      <c r="K10" s="442">
        <v>202311115</v>
      </c>
      <c r="L10" s="443"/>
    </row>
    <row r="11" spans="2:18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 xml:space="preserve">顺兴                                                      Margaret Drive Hawker Centre           38A Margaret Drive, #02-24   Singapore 142038      </v>
      </c>
      <c r="G11" s="445"/>
      <c r="H11" s="446"/>
      <c r="J11" s="18" t="s">
        <v>9</v>
      </c>
      <c r="K11" s="460">
        <v>45234</v>
      </c>
      <c r="L11" s="461"/>
    </row>
    <row r="12" spans="2:18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N12" s="437" t="s">
        <v>1220</v>
      </c>
      <c r="O12" s="437"/>
      <c r="P12" s="437"/>
      <c r="Q12" s="437"/>
      <c r="R12" s="437"/>
    </row>
    <row r="13" spans="2:18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1432</v>
      </c>
      <c r="L13" s="466"/>
    </row>
    <row r="14" spans="2:18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8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483"/>
      <c r="L15" s="484"/>
    </row>
    <row r="16" spans="2:18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2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0" ht="20.149999999999999" customHeight="1" x14ac:dyDescent="0.45">
      <c r="B18" s="101"/>
      <c r="C18" s="338" t="s">
        <v>926</v>
      </c>
      <c r="D18" s="496" t="str">
        <f>VLOOKUP(C18,'Sales Master'!B$3:D$544,2,0)</f>
        <v>Red Bean 红豆</v>
      </c>
      <c r="E18" s="496"/>
      <c r="F18" s="496"/>
      <c r="G18" s="115">
        <v>1</v>
      </c>
      <c r="H18" s="241" t="str">
        <f>VLOOKUP(C18,'Sales Master'!B$3:F$936,5,0)</f>
        <v>3 kgs</v>
      </c>
      <c r="I18" s="432" t="str">
        <f>VLOOKUP(C18,'Sales Master'!B$3:E$936,4,0)</f>
        <v>-</v>
      </c>
      <c r="J18" s="432"/>
      <c r="K18" s="118">
        <f>VLOOKUP(C18,'Sales Master'!B$3:CL$936,89,0)</f>
        <v>10.5</v>
      </c>
      <c r="L18" s="98">
        <f>K18*G18</f>
        <v>10.5</v>
      </c>
      <c r="N18" s="247">
        <f>VLOOKUP(C18,'Sales Master'!$B$3:$FA$3051,156,0)</f>
        <v>8.1000000000000014</v>
      </c>
      <c r="O18" s="247">
        <f>K18-N18</f>
        <v>2.3999999999999986</v>
      </c>
      <c r="P18" s="247">
        <f>O18*G18</f>
        <v>2.3999999999999986</v>
      </c>
      <c r="Q18" s="95"/>
      <c r="R18" s="121"/>
    </row>
    <row r="19" spans="2:20" ht="20.149999999999999" customHeight="1" x14ac:dyDescent="0.45">
      <c r="B19" s="21"/>
      <c r="C19" s="338" t="s">
        <v>938</v>
      </c>
      <c r="D19" s="496" t="str">
        <f>VLOOKUP(C19,'Sales Master'!B$3:D$544,2,0)</f>
        <v>Green Bean 绿豆</v>
      </c>
      <c r="E19" s="496"/>
      <c r="F19" s="496"/>
      <c r="G19" s="115">
        <v>1</v>
      </c>
      <c r="H19" s="241" t="str">
        <f>VLOOKUP(C19,'Sales Master'!B$3:F$936,5,0)</f>
        <v>2 kgs</v>
      </c>
      <c r="I19" s="432" t="str">
        <f>VLOOKUP(C19,'Sales Master'!B$3:E$936,4,0)</f>
        <v>-</v>
      </c>
      <c r="J19" s="432"/>
      <c r="K19" s="118">
        <f>VLOOKUP(C19,'Sales Master'!B$3:CL$936,89,0)</f>
        <v>5.2</v>
      </c>
      <c r="L19" s="98">
        <f t="shared" ref="L19:L29" si="0">K19*G19</f>
        <v>5.2</v>
      </c>
      <c r="N19" s="247">
        <f>VLOOKUP(C19,'Sales Master'!$B$3:$FA$3051,156,0)</f>
        <v>3.8879999999999995</v>
      </c>
      <c r="O19" s="247">
        <f t="shared" ref="O19:O29" si="1">K19-N19</f>
        <v>1.3120000000000007</v>
      </c>
      <c r="P19" s="247">
        <f t="shared" ref="P19:P29" si="2">O19*G19</f>
        <v>1.3120000000000007</v>
      </c>
      <c r="Q19" s="95"/>
      <c r="R19" s="121"/>
    </row>
    <row r="20" spans="2:20" ht="20.149999999999999" customHeight="1" x14ac:dyDescent="0.45">
      <c r="B20" s="315"/>
      <c r="C20" s="370" t="s">
        <v>944</v>
      </c>
      <c r="D20" s="496" t="str">
        <f>VLOOKUP(C20,'Sales Master'!B$3:D$544,2,0)</f>
        <v>Split Green Mung Bean 豆爽</v>
      </c>
      <c r="E20" s="496"/>
      <c r="F20" s="496"/>
      <c r="G20" s="239">
        <v>1</v>
      </c>
      <c r="H20" s="241" t="str">
        <f>VLOOKUP(C20,'Sales Master'!B$3:F$936,5,0)</f>
        <v>2 KGS</v>
      </c>
      <c r="I20" s="432" t="str">
        <f>VLOOKUP(C20,'Sales Master'!B$3:E$936,4,0)</f>
        <v>SW</v>
      </c>
      <c r="J20" s="432"/>
      <c r="K20" s="118">
        <f>VLOOKUP(C20,'Sales Master'!B$3:CL$936,89,0)</f>
        <v>7.5</v>
      </c>
      <c r="L20" s="98">
        <f t="shared" si="0"/>
        <v>7.5</v>
      </c>
      <c r="N20" s="247">
        <f>VLOOKUP(C20,'Sales Master'!$B$3:$FA$3051,156,0)</f>
        <v>6.0652800000000013</v>
      </c>
      <c r="O20" s="247">
        <f t="shared" si="1"/>
        <v>1.4347199999999987</v>
      </c>
      <c r="P20" s="247">
        <f t="shared" si="2"/>
        <v>1.4347199999999987</v>
      </c>
      <c r="Q20" s="95"/>
      <c r="R20" s="121"/>
    </row>
    <row r="21" spans="2:20" ht="20.149999999999999" customHeight="1" x14ac:dyDescent="0.45">
      <c r="B21" s="70"/>
      <c r="C21" s="338" t="s">
        <v>951</v>
      </c>
      <c r="D21" s="496" t="str">
        <f>VLOOKUP(C21,'Sales Master'!B$3:D$544,2,0)</f>
        <v>Black Glutinous Rice 黑糯米</v>
      </c>
      <c r="E21" s="496"/>
      <c r="F21" s="496"/>
      <c r="G21" s="115">
        <v>1</v>
      </c>
      <c r="H21" s="241" t="str">
        <f>VLOOKUP(C21,'Sales Master'!B$3:F$936,5,0)</f>
        <v>750 GM</v>
      </c>
      <c r="I21" s="432" t="str">
        <f>VLOOKUP(C21,'Sales Master'!B$3:E$936,4,0)</f>
        <v>-</v>
      </c>
      <c r="J21" s="432"/>
      <c r="K21" s="118">
        <f>VLOOKUP(C21,'Sales Master'!B$3:CL$936,89,0)</f>
        <v>3.9</v>
      </c>
      <c r="L21" s="98">
        <f t="shared" si="0"/>
        <v>3.9</v>
      </c>
      <c r="N21" s="247">
        <f>VLOOKUP(C21,'Sales Master'!$B$3:$FA$3051,156,0)</f>
        <v>1.9440000000000004</v>
      </c>
      <c r="O21" s="247">
        <f t="shared" si="1"/>
        <v>1.9559999999999995</v>
      </c>
      <c r="P21" s="247">
        <f t="shared" si="2"/>
        <v>1.9559999999999995</v>
      </c>
      <c r="Q21" s="95"/>
      <c r="R21" s="121"/>
    </row>
    <row r="22" spans="2:20" ht="20.149999999999999" customHeight="1" x14ac:dyDescent="0.45">
      <c r="B22" s="70"/>
      <c r="C22" s="338" t="s">
        <v>973</v>
      </c>
      <c r="D22" s="496" t="str">
        <f>VLOOKUP(C22,'Sales Master'!B$3:D$544,2,0)</f>
        <v>Lotus Seed 莲子(无）</v>
      </c>
      <c r="E22" s="496"/>
      <c r="F22" s="496"/>
      <c r="G22" s="239">
        <v>2</v>
      </c>
      <c r="H22" s="241" t="str">
        <f>VLOOKUP(C22,'Sales Master'!B$3:F$936,5,0)</f>
        <v>1 kg</v>
      </c>
      <c r="I22" s="432" t="str">
        <f>VLOOKUP(C22,'Sales Master'!B$3:E$936,4,0)</f>
        <v>Fujian</v>
      </c>
      <c r="J22" s="432"/>
      <c r="K22" s="118">
        <f>VLOOKUP(C22,'Sales Master'!B$3:CL$936,89,0)</f>
        <v>25</v>
      </c>
      <c r="L22" s="98">
        <f t="shared" si="0"/>
        <v>50</v>
      </c>
      <c r="N22" s="247">
        <f>VLOOKUP(C22,'Sales Master'!$B$3:$FA$3051,156,0)</f>
        <v>19.5</v>
      </c>
      <c r="O22" s="247">
        <f t="shared" si="1"/>
        <v>5.5</v>
      </c>
      <c r="P22" s="247">
        <f t="shared" si="2"/>
        <v>11</v>
      </c>
      <c r="Q22" s="95"/>
      <c r="R22" s="121"/>
    </row>
    <row r="23" spans="2:20" ht="20.149999999999999" customHeight="1" x14ac:dyDescent="0.45">
      <c r="B23" s="70"/>
      <c r="C23" s="338" t="s">
        <v>979</v>
      </c>
      <c r="D23" s="496" t="str">
        <f>VLOOKUP(C23,'Sales Master'!B$3:D$544,2,0)</f>
        <v>GingKo Nut 白果粒</v>
      </c>
      <c r="E23" s="496"/>
      <c r="F23" s="496"/>
      <c r="G23" s="239">
        <v>1</v>
      </c>
      <c r="H23" s="241" t="str">
        <f>VLOOKUP(C23,'Sales Master'!B$3:F$936,5,0)</f>
        <v>2 KGS</v>
      </c>
      <c r="I23" s="432" t="str">
        <f>VLOOKUP(C23,'Sales Master'!B$3:E$936,4,0)</f>
        <v>-</v>
      </c>
      <c r="J23" s="432"/>
      <c r="K23" s="118">
        <f>VLOOKUP(C23,'Sales Master'!B$3:CL$936,89,0)</f>
        <v>7.5</v>
      </c>
      <c r="L23" s="98">
        <f t="shared" si="0"/>
        <v>7.5</v>
      </c>
      <c r="N23" s="247">
        <f>VLOOKUP(C23,'Sales Master'!$B$3:$FA$3051,156,0)</f>
        <v>5.8</v>
      </c>
      <c r="O23" s="247">
        <f t="shared" si="1"/>
        <v>1.7000000000000002</v>
      </c>
      <c r="P23" s="247">
        <f t="shared" si="2"/>
        <v>1.7000000000000002</v>
      </c>
      <c r="Q23" s="95"/>
      <c r="R23" s="121"/>
      <c r="T23" s="94"/>
    </row>
    <row r="24" spans="2:20" ht="20.149999999999999" customHeight="1" x14ac:dyDescent="0.45">
      <c r="B24" s="70"/>
      <c r="C24" s="338" t="s">
        <v>1705</v>
      </c>
      <c r="D24" s="496" t="str">
        <f>VLOOKUP(C24,'Sales Master'!B$3:D$544,2,0)</f>
        <v>Fine Sugar 白糖</v>
      </c>
      <c r="E24" s="496"/>
      <c r="F24" s="496"/>
      <c r="G24" s="239">
        <v>10</v>
      </c>
      <c r="H24" s="241" t="str">
        <f>VLOOKUP(C24,'Sales Master'!B$3:F$936,5,0)</f>
        <v>2 kgs</v>
      </c>
      <c r="I24" s="432" t="str">
        <f>VLOOKUP(C24,'Sales Master'!B$3:E$936,4,0)</f>
        <v>MITR PHOL</v>
      </c>
      <c r="J24" s="432"/>
      <c r="K24" s="118">
        <f>VLOOKUP(C24,'Sales Master'!B$3:CL$936,89,0)</f>
        <v>3.1</v>
      </c>
      <c r="L24" s="98">
        <f t="shared" ref="L24" si="3">K24*G24</f>
        <v>31</v>
      </c>
      <c r="N24" s="247">
        <f>VLOOKUP(C24,'Sales Master'!$B$3:$FA$3051,156,0)</f>
        <v>2.1427200000000002</v>
      </c>
      <c r="O24" s="247">
        <f t="shared" ref="O24" si="4">K24-N24</f>
        <v>0.95727999999999991</v>
      </c>
      <c r="P24" s="247">
        <f t="shared" ref="P24" si="5">O24*G24</f>
        <v>9.5727999999999991</v>
      </c>
      <c r="Q24" s="95"/>
      <c r="R24" s="121"/>
      <c r="T24" s="94"/>
    </row>
    <row r="25" spans="2:20" ht="20.149999999999999" customHeight="1" x14ac:dyDescent="0.45">
      <c r="B25" s="21"/>
      <c r="C25" s="370" t="s">
        <v>1093</v>
      </c>
      <c r="D25" s="496" t="str">
        <f>VLOOKUP(C25,'Sales Master'!B$3:D$544,2,0)</f>
        <v>Sweet Potato 番薯</v>
      </c>
      <c r="E25" s="496"/>
      <c r="F25" s="496"/>
      <c r="G25" s="239">
        <v>4</v>
      </c>
      <c r="H25" s="241" t="str">
        <f>VLOOKUP(C25,'Sales Master'!B$3:F$936,5,0)</f>
        <v>1 KG</v>
      </c>
      <c r="I25" s="432" t="str">
        <f>VLOOKUP(C25,'Sales Master'!B$3:E$936,4,0)</f>
        <v>Malaysia</v>
      </c>
      <c r="J25" s="432"/>
      <c r="K25" s="118">
        <f>VLOOKUP(C25,'Sales Master'!B$3:CL$936,89,0)</f>
        <v>2.5</v>
      </c>
      <c r="L25" s="98">
        <f t="shared" si="0"/>
        <v>10</v>
      </c>
      <c r="N25" s="247">
        <f>VLOOKUP(C25,'Sales Master'!$B$3:$FA$3051,156,0)</f>
        <v>1.75</v>
      </c>
      <c r="O25" s="247">
        <f t="shared" si="1"/>
        <v>0.75</v>
      </c>
      <c r="P25" s="247">
        <f t="shared" si="2"/>
        <v>3</v>
      </c>
      <c r="Q25" s="95"/>
      <c r="R25" s="121"/>
    </row>
    <row r="26" spans="2:20" ht="20.149999999999999" customHeight="1" x14ac:dyDescent="0.45">
      <c r="B26" s="21"/>
      <c r="C26" s="338" t="s">
        <v>1095</v>
      </c>
      <c r="D26" s="496" t="str">
        <f>VLOOKUP(C26,'Sales Master'!B$3:D$544,2,0)</f>
        <v>Yam 芋头</v>
      </c>
      <c r="E26" s="496"/>
      <c r="F26" s="496"/>
      <c r="G26" s="239">
        <v>1.3</v>
      </c>
      <c r="H26" s="241" t="str">
        <f>VLOOKUP(C26,'Sales Master'!B$3:F$936,5,0)</f>
        <v>1 KG</v>
      </c>
      <c r="I26" s="432" t="str">
        <f>VLOOKUP(C26,'Sales Master'!B$3:E$936,4,0)</f>
        <v>Thailand</v>
      </c>
      <c r="J26" s="432"/>
      <c r="K26" s="118">
        <f>VLOOKUP(C26,'Sales Master'!B$3:CL$936,89,0)</f>
        <v>4.4000000000000004</v>
      </c>
      <c r="L26" s="98">
        <f t="shared" si="0"/>
        <v>5.7200000000000006</v>
      </c>
      <c r="N26" s="247">
        <f>VLOOKUP(C26,'Sales Master'!$B$3:$FA$3051,156,0)</f>
        <v>2.4000000000000004</v>
      </c>
      <c r="O26" s="247">
        <f t="shared" si="1"/>
        <v>2</v>
      </c>
      <c r="P26" s="247">
        <f t="shared" si="2"/>
        <v>2.6</v>
      </c>
      <c r="Q26" s="95"/>
    </row>
    <row r="27" spans="2:20" ht="20.149999999999999" customHeight="1" x14ac:dyDescent="0.45">
      <c r="B27" s="21"/>
      <c r="C27" s="338" t="s">
        <v>1098</v>
      </c>
      <c r="D27" s="496" t="str">
        <f>VLOOKUP(C27,'Sales Master'!B$3:D$544,2,0)</f>
        <v>Pandan Leaf 班兰叶</v>
      </c>
      <c r="E27" s="496"/>
      <c r="F27" s="496"/>
      <c r="G27" s="115">
        <v>4</v>
      </c>
      <c r="H27" s="241" t="str">
        <f>VLOOKUP(C27,'Sales Master'!B$3:F$936,5,0)</f>
        <v>1 kg</v>
      </c>
      <c r="I27" s="432" t="str">
        <f>VLOOKUP(C27,'Sales Master'!B$3:E$936,4,0)</f>
        <v>-</v>
      </c>
      <c r="J27" s="432"/>
      <c r="K27" s="118">
        <f>VLOOKUP(C27,'Sales Master'!B$3:CL$936,89,0)</f>
        <v>1.8</v>
      </c>
      <c r="L27" s="98">
        <f t="shared" ref="L27" si="6">K27*G27</f>
        <v>7.2</v>
      </c>
      <c r="N27" s="247">
        <f>VLOOKUP(C27,'Sales Master'!$B$3:$FA$3051,156,0)</f>
        <v>1.1000000000000001</v>
      </c>
      <c r="O27" s="247">
        <f t="shared" ref="O27" si="7">K27-N27</f>
        <v>0.7</v>
      </c>
      <c r="P27" s="247">
        <f t="shared" ref="P27" si="8">O27*G27</f>
        <v>2.8</v>
      </c>
      <c r="Q27" s="95"/>
    </row>
    <row r="28" spans="2:20" ht="20.149999999999999" customHeight="1" x14ac:dyDescent="0.45">
      <c r="B28" s="21"/>
      <c r="C28" s="338" t="s">
        <v>858</v>
      </c>
      <c r="D28" s="496" t="str">
        <f>VLOOKUP(C28,'Sales Master'!B$3:D$544,2,0)</f>
        <v>Tapioca木薯</v>
      </c>
      <c r="E28" s="496"/>
      <c r="F28" s="496"/>
      <c r="G28" s="115">
        <v>2</v>
      </c>
      <c r="H28" s="241" t="str">
        <f>VLOOKUP(C28,'Sales Master'!B$3:F$936,5,0)</f>
        <v>1 kg</v>
      </c>
      <c r="I28" s="432" t="str">
        <f>VLOOKUP(C28,'Sales Master'!B$3:E$936,4,0)</f>
        <v>Malaysia</v>
      </c>
      <c r="J28" s="432"/>
      <c r="K28" s="118">
        <f>VLOOKUP(C28,'Sales Master'!B$3:CL$936,89,0)</f>
        <v>2</v>
      </c>
      <c r="L28" s="98">
        <f t="shared" si="0"/>
        <v>4</v>
      </c>
      <c r="N28" s="247">
        <f>VLOOKUP(C28,'Sales Master'!$B$3:$FA$3051,156,0)</f>
        <v>1.1000000000000001</v>
      </c>
      <c r="O28" s="247">
        <f t="shared" si="1"/>
        <v>0.89999999999999991</v>
      </c>
      <c r="P28" s="247">
        <f t="shared" si="2"/>
        <v>1.7999999999999998</v>
      </c>
      <c r="Q28" s="95"/>
    </row>
    <row r="29" spans="2:20" ht="20.149999999999999" customHeight="1" x14ac:dyDescent="0.45">
      <c r="B29" s="21"/>
      <c r="C29" s="338" t="s">
        <v>1103</v>
      </c>
      <c r="D29" s="496" t="str">
        <f>VLOOKUP(C29,'Sales Master'!B$3:D$544,2,0)</f>
        <v>Bonton Ginger 文冬姜</v>
      </c>
      <c r="E29" s="496"/>
      <c r="F29" s="496"/>
      <c r="G29" s="115">
        <v>0.5</v>
      </c>
      <c r="H29" s="241" t="str">
        <f>VLOOKUP(C29,'Sales Master'!B$3:F$936,5,0)</f>
        <v>1 kg</v>
      </c>
      <c r="I29" s="432" t="str">
        <f>VLOOKUP(C29,'Sales Master'!B$3:E$936,4,0)</f>
        <v>Malaysia</v>
      </c>
      <c r="J29" s="432"/>
      <c r="K29" s="118">
        <f>VLOOKUP(C29,'Sales Master'!B$3:CL$936,89,0)</f>
        <v>9</v>
      </c>
      <c r="L29" s="98">
        <f t="shared" si="0"/>
        <v>4.5</v>
      </c>
      <c r="N29" s="247">
        <f>VLOOKUP(C29,'Sales Master'!$B$3:$FA$3051,156,0)</f>
        <v>4</v>
      </c>
      <c r="O29" s="247">
        <f t="shared" si="1"/>
        <v>5</v>
      </c>
      <c r="P29" s="247">
        <f t="shared" si="2"/>
        <v>2.5</v>
      </c>
      <c r="Q29" s="95"/>
    </row>
    <row r="30" spans="2:20" ht="20.149999999999999" customHeight="1" x14ac:dyDescent="0.45">
      <c r="B30" s="353"/>
      <c r="C30" s="338" t="s">
        <v>897</v>
      </c>
      <c r="D30" s="496" t="str">
        <f>VLOOKUP(C30,'Sales Master'!B$3:D$544,2,0)</f>
        <v>Tapioca Flour 茨粉</v>
      </c>
      <c r="E30" s="496"/>
      <c r="F30" s="496"/>
      <c r="G30" s="45">
        <v>10</v>
      </c>
      <c r="H30" s="241" t="str">
        <f>VLOOKUP(C30,'Sales Master'!B$3:F$936,5,0)</f>
        <v>500gm/pkt</v>
      </c>
      <c r="I30" s="432" t="str">
        <f>VLOOKUP(C30,'Sales Master'!B$3:E$936,4,0)</f>
        <v>F/MAN</v>
      </c>
      <c r="J30" s="432"/>
      <c r="K30" s="118">
        <f>VLOOKUP(C30,'Sales Master'!B$3:CL$936,89,0)</f>
        <v>1</v>
      </c>
      <c r="L30" s="98">
        <f t="shared" ref="L30:L31" si="9">K30*G30</f>
        <v>10</v>
      </c>
      <c r="N30" s="247">
        <f>VLOOKUP(C30,'Sales Master'!$B$3:$FA$3051,156,0)</f>
        <v>0.62</v>
      </c>
      <c r="O30" s="247">
        <f t="shared" ref="O30:O31" si="10">K30-N30</f>
        <v>0.38</v>
      </c>
      <c r="P30" s="247">
        <f t="shared" ref="P30:P31" si="11">O30*G30</f>
        <v>3.8</v>
      </c>
      <c r="Q30" s="95"/>
    </row>
    <row r="31" spans="2:20" ht="20.149999999999999" customHeight="1" x14ac:dyDescent="0.45">
      <c r="B31" s="353"/>
      <c r="C31" s="338" t="s">
        <v>918</v>
      </c>
      <c r="D31" s="496" t="str">
        <f>VLOOKUP(C31,'Sales Master'!B$3:D$544,2,0)</f>
        <v>Chin Chow 仙草</v>
      </c>
      <c r="E31" s="496"/>
      <c r="F31" s="496"/>
      <c r="G31" s="45">
        <v>1</v>
      </c>
      <c r="H31" s="241" t="str">
        <f>VLOOKUP(C31,'Sales Master'!B$3:F$936,5,0)</f>
        <v>5KGS/PKT</v>
      </c>
      <c r="I31" s="432" t="str">
        <f>VLOOKUP(C31,'Sales Master'!B$3:E$936,4,0)</f>
        <v>TSM</v>
      </c>
      <c r="J31" s="432"/>
      <c r="K31" s="118">
        <f>VLOOKUP(C31,'Sales Master'!B$3:CL$936,89,0)</f>
        <v>5</v>
      </c>
      <c r="L31" s="98">
        <f t="shared" si="9"/>
        <v>5</v>
      </c>
      <c r="N31" s="247">
        <f>VLOOKUP(C31,'Sales Master'!$B$3:$FA$3051,156,0)</f>
        <v>4.32</v>
      </c>
      <c r="O31" s="247">
        <f t="shared" si="10"/>
        <v>0.67999999999999972</v>
      </c>
      <c r="P31" s="247">
        <f t="shared" si="11"/>
        <v>0.67999999999999972</v>
      </c>
      <c r="Q31" s="95"/>
    </row>
    <row r="32" spans="2:20" ht="20.149999999999999" customHeight="1" x14ac:dyDescent="0.45">
      <c r="B32" s="353"/>
      <c r="C32" s="338" t="s">
        <v>966</v>
      </c>
      <c r="D32" s="496" t="str">
        <f>VLOOKUP(C32,'Sales Master'!B$3:D$544,2,0)</f>
        <v>Small Sago 小丸</v>
      </c>
      <c r="E32" s="496"/>
      <c r="F32" s="496"/>
      <c r="G32" s="45">
        <v>5</v>
      </c>
      <c r="H32" s="241" t="str">
        <f>VLOOKUP(C32,'Sales Master'!B$3:F$936,5,0)</f>
        <v>1 kg</v>
      </c>
      <c r="I32" s="432" t="str">
        <f>VLOOKUP(C32,'Sales Master'!B$3:E$936,4,0)</f>
        <v>SW</v>
      </c>
      <c r="J32" s="432"/>
      <c r="K32" s="118">
        <f>VLOOKUP(C32,'Sales Master'!B$3:CL$936,89,0)</f>
        <v>2.1</v>
      </c>
      <c r="L32" s="98">
        <f t="shared" ref="L32" si="12">K32*G32</f>
        <v>10.5</v>
      </c>
      <c r="N32" s="247">
        <f>VLOOKUP(C32,'Sales Master'!$B$3:$FA$3051,156,0)</f>
        <v>1.4833333333333334</v>
      </c>
      <c r="O32" s="247">
        <f t="shared" ref="O32" si="13">K32-N32</f>
        <v>0.6166666666666667</v>
      </c>
      <c r="P32" s="247">
        <f t="shared" ref="P32" si="14">O32*G32</f>
        <v>3.0833333333333335</v>
      </c>
      <c r="Q32" s="95"/>
    </row>
    <row r="33" spans="2:17" ht="20.149999999999999" customHeight="1" x14ac:dyDescent="0.45">
      <c r="B33" s="353"/>
      <c r="C33" s="338" t="s">
        <v>968</v>
      </c>
      <c r="D33" s="496" t="str">
        <f>VLOOKUP(C33,'Sales Master'!B$3:D$544,2,0)</f>
        <v>Dried Longan 龙眼干</v>
      </c>
      <c r="E33" s="496"/>
      <c r="F33" s="496"/>
      <c r="G33" s="45">
        <v>5</v>
      </c>
      <c r="H33" s="241" t="str">
        <f>VLOOKUP(C33,'Sales Master'!B$3:F$936,5,0)</f>
        <v>1 kg</v>
      </c>
      <c r="I33" s="432" t="str">
        <f>VLOOKUP(C33,'Sales Master'!B$3:E$936,4,0)</f>
        <v>AAA</v>
      </c>
      <c r="J33" s="432"/>
      <c r="K33" s="118">
        <f>VLOOKUP(C33,'Sales Master'!B$3:CL$936,89,0)</f>
        <v>12.5</v>
      </c>
      <c r="L33" s="98">
        <f>K33*G33</f>
        <v>62.5</v>
      </c>
      <c r="N33" s="247">
        <f>VLOOKUP(C33,'Sales Master'!$B$3:$FA$3051,156,0)</f>
        <v>8.8000000000000007</v>
      </c>
      <c r="O33" s="247">
        <f>K33-N33</f>
        <v>3.6999999999999993</v>
      </c>
      <c r="P33" s="247">
        <f>O33*G33</f>
        <v>18.499999999999996</v>
      </c>
      <c r="Q33" s="95"/>
    </row>
    <row r="34" spans="2:17" ht="20.149999999999999" customHeight="1" x14ac:dyDescent="0.45">
      <c r="B34" s="353"/>
      <c r="C34" s="338" t="s">
        <v>977</v>
      </c>
      <c r="D34" s="496" t="str">
        <f>VLOOKUP(C34,'Sales Master'!B$3:D$544,2,0)</f>
        <v>Dried Persimmon 柿子</v>
      </c>
      <c r="E34" s="496"/>
      <c r="F34" s="496"/>
      <c r="G34" s="45">
        <v>2</v>
      </c>
      <c r="H34" s="241" t="str">
        <f>VLOOKUP(C34,'Sales Master'!B$3:F$936,5,0)</f>
        <v>800 GMS</v>
      </c>
      <c r="I34" s="432" t="str">
        <f>VLOOKUP(C34,'Sales Master'!B$3:E$936,4,0)</f>
        <v>AA</v>
      </c>
      <c r="J34" s="432"/>
      <c r="K34" s="118">
        <f>VLOOKUP(C34,'Sales Master'!B$3:CL$936,89,0)</f>
        <v>6.5</v>
      </c>
      <c r="L34" s="98">
        <f>K34*G34</f>
        <v>13</v>
      </c>
      <c r="N34" s="247">
        <f>VLOOKUP(C34,'Sales Master'!$B$3:$FA$3051,156,0)</f>
        <v>6</v>
      </c>
      <c r="O34" s="247">
        <f>K34-N34</f>
        <v>0.5</v>
      </c>
      <c r="P34" s="247">
        <f>O34*G34</f>
        <v>1</v>
      </c>
      <c r="Q34" s="95"/>
    </row>
    <row r="35" spans="2:17" ht="20.149999999999999" customHeight="1" x14ac:dyDescent="0.45">
      <c r="B35" s="353"/>
      <c r="C35" s="338" t="s">
        <v>1020</v>
      </c>
      <c r="D35" s="496" t="str">
        <f>VLOOKUP(C35,'Sales Master'!B$3:D$544,2,0)</f>
        <v>Sea Coconut 海底椰</v>
      </c>
      <c r="E35" s="496"/>
      <c r="F35" s="496"/>
      <c r="G35" s="45">
        <v>1</v>
      </c>
      <c r="H35" s="241" t="str">
        <f>VLOOKUP(C35,'Sales Master'!B$3:F$936,5,0)</f>
        <v>1 Can X A10</v>
      </c>
      <c r="I35" s="432" t="str">
        <f>VLOOKUP(C35,'Sales Master'!B$3:E$936,4,0)</f>
        <v>Chefs</v>
      </c>
      <c r="J35" s="432"/>
      <c r="K35" s="118">
        <f>VLOOKUP(C35,'Sales Master'!B$3:CL$936,89,0)</f>
        <v>19</v>
      </c>
      <c r="L35" s="98">
        <f>K35*G35</f>
        <v>19</v>
      </c>
      <c r="N35" s="247">
        <f>VLOOKUP(C35,'Sales Master'!$B$3:$FA$3051,156,0)</f>
        <v>14.333333333333334</v>
      </c>
      <c r="O35" s="247">
        <f>K35-N35</f>
        <v>4.6666666666666661</v>
      </c>
      <c r="P35" s="247">
        <f>O35*G35</f>
        <v>4.6666666666666661</v>
      </c>
      <c r="Q35" s="95"/>
    </row>
    <row r="36" spans="2:17" ht="20.149999999999999" customHeight="1" x14ac:dyDescent="0.45">
      <c r="B36" s="353"/>
      <c r="C36" s="338" t="s">
        <v>1022</v>
      </c>
      <c r="D36" s="496" t="str">
        <f>VLOOKUP(C36,'Sales Master'!B$3:D$544,2,0)</f>
        <v>Nata 椰果芊 15mm</v>
      </c>
      <c r="E36" s="496"/>
      <c r="F36" s="496"/>
      <c r="G36" s="45">
        <v>1</v>
      </c>
      <c r="H36" s="241" t="str">
        <f>VLOOKUP(C36,'Sales Master'!B$3:F$936,5,0)</f>
        <v>1 Can X A10</v>
      </c>
      <c r="I36" s="432" t="str">
        <f>VLOOKUP(C36,'Sales Master'!B$3:E$936,4,0)</f>
        <v>Chefs</v>
      </c>
      <c r="J36" s="432"/>
      <c r="K36" s="118">
        <f>VLOOKUP(C36,'Sales Master'!B$3:CL$936,89,0)</f>
        <v>9.5</v>
      </c>
      <c r="L36" s="98">
        <f>K36*G36</f>
        <v>9.5</v>
      </c>
      <c r="N36" s="247">
        <f>VLOOKUP(C36,'Sales Master'!$B$3:$FA$3051,156,0)</f>
        <v>6.916666666666667</v>
      </c>
      <c r="O36" s="247">
        <f>K36-N36</f>
        <v>2.583333333333333</v>
      </c>
      <c r="P36" s="247">
        <f>O36*G36</f>
        <v>2.583333333333333</v>
      </c>
      <c r="Q36" s="95"/>
    </row>
    <row r="37" spans="2:17" ht="20.149999999999999" customHeight="1" x14ac:dyDescent="0.45">
      <c r="B37" s="353"/>
      <c r="C37" s="338" t="s">
        <v>1027</v>
      </c>
      <c r="D37" s="496" t="str">
        <f>VLOOKUP(C37,'Sales Master'!B$3:D$544,2,0)</f>
        <v>Longan in Syrup 龙眼</v>
      </c>
      <c r="E37" s="496"/>
      <c r="F37" s="496"/>
      <c r="G37" s="45">
        <v>1</v>
      </c>
      <c r="H37" s="241" t="str">
        <f>VLOOKUP(C37,'Sales Master'!B$3:F$936,5,0)</f>
        <v>(565gm x 12)/箱</v>
      </c>
      <c r="I37" s="432" t="str">
        <f>VLOOKUP(C37,'Sales Master'!B$3:E$936,4,0)</f>
        <v>YiFong</v>
      </c>
      <c r="J37" s="432"/>
      <c r="K37" s="118">
        <f>VLOOKUP(C37,'Sales Master'!B$3:CL$936,89,0)</f>
        <v>25</v>
      </c>
      <c r="L37" s="98">
        <f t="shared" ref="L37" si="15">K37*G37</f>
        <v>25</v>
      </c>
      <c r="N37" s="247">
        <f>VLOOKUP(C37,'Sales Master'!$B$3:$FA$3051,156,0)</f>
        <v>19.534883720930232</v>
      </c>
      <c r="O37" s="247">
        <f t="shared" ref="O37" si="16">K37-N37</f>
        <v>5.4651162790697683</v>
      </c>
      <c r="P37" s="247">
        <f t="shared" ref="P37" si="17">O37*G37</f>
        <v>5.4651162790697683</v>
      </c>
      <c r="Q37" s="95"/>
    </row>
    <row r="38" spans="2:17" ht="20.149999999999999" customHeight="1" x14ac:dyDescent="0.45">
      <c r="B38" s="353"/>
      <c r="C38" s="338" t="s">
        <v>1099</v>
      </c>
      <c r="D38" s="496" t="str">
        <f>VLOOKUP(C38,'Sales Master'!B$3:D$544,2,0)</f>
        <v>Lime 酸甘</v>
      </c>
      <c r="E38" s="496"/>
      <c r="F38" s="496"/>
      <c r="G38" s="45">
        <v>1</v>
      </c>
      <c r="H38" s="241" t="str">
        <f>VLOOKUP(C38,'Sales Master'!B$3:F$936,5,0)</f>
        <v>1 kg</v>
      </c>
      <c r="I38" s="432" t="str">
        <f>VLOOKUP(C38,'Sales Master'!B$3:E$936,4,0)</f>
        <v>-</v>
      </c>
      <c r="J38" s="432"/>
      <c r="K38" s="118">
        <f>VLOOKUP(C38,'Sales Master'!B$3:CL$936,89,0)</f>
        <v>2.8</v>
      </c>
      <c r="L38" s="98">
        <f t="shared" ref="L38" si="18">K38*G38</f>
        <v>2.8</v>
      </c>
      <c r="N38" s="247">
        <f>VLOOKUP(C38,'Sales Master'!$B$3:$FA$3051,156,0)</f>
        <v>2.2999999999999998</v>
      </c>
      <c r="O38" s="247">
        <f t="shared" ref="O38" si="19">K38-N38</f>
        <v>0.5</v>
      </c>
      <c r="P38" s="247">
        <f t="shared" ref="P38" si="20">O38*G38</f>
        <v>0.5</v>
      </c>
      <c r="Q38" s="95"/>
    </row>
    <row r="39" spans="2:17" ht="20.149999999999999" customHeight="1" x14ac:dyDescent="0.45">
      <c r="B39" s="353"/>
      <c r="C39" s="338"/>
      <c r="D39" s="496"/>
      <c r="E39" s="496"/>
      <c r="F39" s="496"/>
      <c r="G39" s="45"/>
      <c r="H39" s="241"/>
      <c r="I39" s="432"/>
      <c r="J39" s="432"/>
      <c r="K39" s="118"/>
      <c r="L39" s="98"/>
      <c r="N39" s="247"/>
      <c r="O39" s="247"/>
      <c r="P39" s="247"/>
      <c r="Q39" s="95"/>
    </row>
    <row r="40" spans="2:17" ht="20.149999999999999" customHeight="1" x14ac:dyDescent="0.45">
      <c r="B40" s="353"/>
      <c r="C40" s="338"/>
      <c r="D40" s="496"/>
      <c r="E40" s="496"/>
      <c r="F40" s="496"/>
      <c r="G40" s="45"/>
      <c r="H40" s="241"/>
      <c r="I40" s="432"/>
      <c r="J40" s="432"/>
      <c r="K40" s="118"/>
      <c r="L40" s="98"/>
      <c r="N40" s="247"/>
      <c r="O40" s="247"/>
      <c r="P40" s="247"/>
      <c r="Q40" s="95"/>
    </row>
    <row r="41" spans="2:17" ht="20.149999999999999" customHeight="1" x14ac:dyDescent="0.45">
      <c r="B41" s="353"/>
      <c r="C41" s="338"/>
      <c r="D41" s="130"/>
      <c r="E41" s="130"/>
      <c r="F41" s="130"/>
      <c r="G41" s="45"/>
      <c r="H41" s="241"/>
      <c r="I41" s="322"/>
      <c r="J41" s="322"/>
      <c r="K41" s="118"/>
      <c r="L41" s="98"/>
      <c r="N41" s="247"/>
      <c r="O41" s="247"/>
      <c r="P41" s="247"/>
      <c r="Q41" s="95"/>
    </row>
    <row r="42" spans="2:17" ht="20.149999999999999" customHeight="1" x14ac:dyDescent="0.45">
      <c r="B42" s="353"/>
      <c r="C42" s="305" t="s">
        <v>1740</v>
      </c>
      <c r="E42" s="69"/>
      <c r="F42" s="69"/>
      <c r="G42" s="99"/>
      <c r="H42" s="65"/>
      <c r="I42" s="65"/>
      <c r="J42" s="65"/>
      <c r="K42" s="22"/>
      <c r="L42" s="98"/>
      <c r="N42" s="247"/>
      <c r="O42" s="247"/>
      <c r="P42" s="247"/>
      <c r="Q42" s="95"/>
    </row>
    <row r="43" spans="2:17" ht="20.149999999999999" customHeight="1" x14ac:dyDescent="0.45">
      <c r="B43" s="353"/>
      <c r="C43" s="338" t="s">
        <v>817</v>
      </c>
      <c r="D43" s="496" t="str">
        <f>VLOOKUP(C43,'Sales Master'!B$3:D$544,2,0)</f>
        <v xml:space="preserve">Fresh Soursop 红毛榴莲 </v>
      </c>
      <c r="E43" s="496"/>
      <c r="F43" s="496"/>
      <c r="G43" s="99">
        <v>1</v>
      </c>
      <c r="H43" s="322" t="str">
        <f>VLOOKUP(C43,'Sales Master'!B$3:F$936,5,0)</f>
        <v>5 KGS/ Tub桶</v>
      </c>
      <c r="I43" s="432" t="str">
        <f>VLOOKUP(C43,'Sales Master'!B$3:E$936,4,0)</f>
        <v>DO!</v>
      </c>
      <c r="J43" s="432"/>
      <c r="K43" s="22">
        <v>34</v>
      </c>
      <c r="L43" s="98"/>
      <c r="N43" s="247"/>
      <c r="O43" s="247"/>
      <c r="P43" s="247"/>
      <c r="Q43" s="95"/>
    </row>
    <row r="44" spans="2:17" ht="20.149999999999999" customHeight="1" x14ac:dyDescent="0.45">
      <c r="B44" s="21"/>
      <c r="C44" s="338" t="s">
        <v>897</v>
      </c>
      <c r="D44" s="496" t="str">
        <f>VLOOKUP(C44,'Sales Master'!B$3:D$544,2,0)</f>
        <v>Tapioca Flour 茨粉</v>
      </c>
      <c r="E44" s="496"/>
      <c r="F44" s="496"/>
      <c r="G44" s="99">
        <v>1</v>
      </c>
      <c r="H44" s="322" t="str">
        <f>VLOOKUP(C44,'Sales Master'!B$3:F$936,5,0)</f>
        <v>500gm/pkt</v>
      </c>
      <c r="I44" s="432" t="str">
        <f>VLOOKUP(C44,'Sales Master'!B$3:E$936,4,0)</f>
        <v>F/MAN</v>
      </c>
      <c r="J44" s="432"/>
      <c r="K44" s="22">
        <v>1</v>
      </c>
      <c r="L44" s="98"/>
      <c r="N44" s="247"/>
      <c r="O44" s="247"/>
      <c r="P44" s="247"/>
      <c r="Q44" s="95"/>
    </row>
    <row r="45" spans="2:17" ht="20.149999999999999" customHeight="1" x14ac:dyDescent="0.45">
      <c r="B45" s="21"/>
      <c r="C45" s="338" t="s">
        <v>858</v>
      </c>
      <c r="D45" s="496" t="str">
        <f>VLOOKUP(C45,'Sales Master'!B$3:D$544,2,0)</f>
        <v>Tapioca木薯</v>
      </c>
      <c r="E45" s="496"/>
      <c r="F45" s="496"/>
      <c r="G45" s="99">
        <v>1</v>
      </c>
      <c r="H45" s="322" t="s">
        <v>351</v>
      </c>
      <c r="I45" s="432" t="str">
        <f>VLOOKUP(C45,'Sales Master'!B$3:E$936,4,0)</f>
        <v>Malaysia</v>
      </c>
      <c r="J45" s="432"/>
      <c r="K45" s="22">
        <v>2</v>
      </c>
      <c r="L45" s="98"/>
      <c r="N45" s="247"/>
      <c r="O45" s="247"/>
      <c r="P45" s="247"/>
      <c r="Q45" s="95"/>
    </row>
    <row r="46" spans="2:17" ht="20.149999999999999" customHeight="1" x14ac:dyDescent="0.45">
      <c r="B46" s="21"/>
      <c r="C46" s="338" t="s">
        <v>1103</v>
      </c>
      <c r="D46" s="496" t="str">
        <f>VLOOKUP(C46,'Sales Master'!B$3:D$544,2,0)</f>
        <v>Bonton Ginger 文冬姜</v>
      </c>
      <c r="E46" s="496"/>
      <c r="F46" s="496"/>
      <c r="G46" s="99">
        <v>1</v>
      </c>
      <c r="H46" s="322" t="str">
        <f>VLOOKUP(C46,'Sales Master'!B$3:F$936,5,0)</f>
        <v>1 kg</v>
      </c>
      <c r="I46" s="432" t="str">
        <f>VLOOKUP(C46,'Sales Master'!B$3:E$936,4,0)</f>
        <v>Malaysia</v>
      </c>
      <c r="J46" s="432"/>
      <c r="K46" s="22">
        <v>9</v>
      </c>
      <c r="L46" s="98"/>
      <c r="N46" s="247"/>
      <c r="O46" s="247"/>
      <c r="P46" s="247"/>
      <c r="Q46" s="95"/>
    </row>
    <row r="47" spans="2:17" ht="20.149999999999999" customHeight="1" thickBot="1" x14ac:dyDescent="0.5">
      <c r="B47" s="24"/>
      <c r="C47" s="73"/>
      <c r="D47" s="323"/>
      <c r="E47" s="323"/>
      <c r="F47" s="323"/>
      <c r="G47" s="25"/>
      <c r="H47" s="66"/>
      <c r="I47" s="166"/>
      <c r="J47" s="166"/>
      <c r="K47" s="119"/>
      <c r="L47" s="171" t="s">
        <v>334</v>
      </c>
    </row>
    <row r="48" spans="2:17" ht="20.149999999999999" customHeight="1" thickBot="1" x14ac:dyDescent="0.5">
      <c r="B48" s="28"/>
      <c r="L48" s="29"/>
    </row>
    <row r="49" spans="2:16" ht="20.149999999999999" customHeight="1" x14ac:dyDescent="0.45">
      <c r="B49" s="11" t="s">
        <v>16</v>
      </c>
      <c r="C49" s="10"/>
      <c r="D49" s="10"/>
      <c r="E49" s="10"/>
      <c r="F49" s="10"/>
      <c r="G49" s="10"/>
      <c r="H49" s="10"/>
      <c r="I49" s="10"/>
      <c r="J49" s="474" t="s">
        <v>13</v>
      </c>
      <c r="K49" s="475"/>
      <c r="L49" s="30">
        <f>SUM(L18:L48)</f>
        <v>304.32</v>
      </c>
      <c r="M49" s="95">
        <f>SUM(P18:P47)-L49*0.02</f>
        <v>76.267569612403094</v>
      </c>
      <c r="N49" s="405">
        <f>M49-L50</f>
        <v>53.725347390180872</v>
      </c>
    </row>
    <row r="50" spans="2:16" ht="20.149999999999999" customHeight="1" x14ac:dyDescent="0.45">
      <c r="B50" s="11" t="s">
        <v>17</v>
      </c>
      <c r="C50" s="10"/>
      <c r="D50" s="10"/>
      <c r="E50" s="10"/>
      <c r="F50" s="10"/>
      <c r="G50" s="10"/>
      <c r="H50" s="10"/>
      <c r="I50" s="10"/>
      <c r="J50" s="110" t="s">
        <v>553</v>
      </c>
      <c r="K50" s="113">
        <v>6.54E-2</v>
      </c>
      <c r="L50" s="32">
        <f>L52</f>
        <v>22.542222222222222</v>
      </c>
      <c r="M50" s="95"/>
    </row>
    <row r="51" spans="2:16" ht="20.149999999999999" customHeight="1" x14ac:dyDescent="0.45">
      <c r="B51" s="11" t="s">
        <v>18</v>
      </c>
      <c r="C51" s="10"/>
      <c r="D51" s="10"/>
      <c r="E51" s="10"/>
      <c r="F51" s="10"/>
      <c r="G51" s="10"/>
      <c r="H51" s="10"/>
      <c r="I51" s="10"/>
      <c r="J51" s="476" t="s">
        <v>555</v>
      </c>
      <c r="K51" s="477"/>
      <c r="L51" s="114">
        <f>L49/108*100</f>
        <v>281.77777777777777</v>
      </c>
    </row>
    <row r="52" spans="2:16" ht="20.149999999999999" customHeight="1" x14ac:dyDescent="0.45">
      <c r="B52" s="11" t="s">
        <v>22</v>
      </c>
      <c r="C52" s="10"/>
      <c r="D52" s="10"/>
      <c r="E52" s="10"/>
      <c r="F52" s="10"/>
      <c r="G52" s="10"/>
      <c r="H52" s="10"/>
      <c r="I52" s="10"/>
      <c r="J52" s="111" t="s">
        <v>554</v>
      </c>
      <c r="K52" s="112">
        <v>0.08</v>
      </c>
      <c r="L52" s="44">
        <f>L51*K52</f>
        <v>22.542222222222222</v>
      </c>
      <c r="O52" s="95"/>
      <c r="P52" s="95"/>
    </row>
    <row r="53" spans="2:16" ht="20.149999999999999" customHeight="1" thickBot="1" x14ac:dyDescent="0.5">
      <c r="B53" s="11" t="s">
        <v>748</v>
      </c>
      <c r="C53" s="10"/>
      <c r="D53" s="10"/>
      <c r="E53" s="10"/>
      <c r="F53" s="10"/>
      <c r="G53" s="10"/>
      <c r="H53" s="10"/>
      <c r="I53" s="10"/>
      <c r="J53" s="478" t="s">
        <v>21</v>
      </c>
      <c r="K53" s="479"/>
      <c r="L53" s="33">
        <f>L51+L52</f>
        <v>304.32</v>
      </c>
      <c r="M53" s="95"/>
      <c r="N53" s="95"/>
      <c r="O53" s="95"/>
      <c r="P53" s="95"/>
    </row>
    <row r="54" spans="2:16" ht="20.149999999999999" customHeight="1" x14ac:dyDescent="0.45">
      <c r="B54" s="11" t="s">
        <v>23</v>
      </c>
      <c r="C54" s="10"/>
      <c r="D54" s="10"/>
      <c r="E54" s="10"/>
      <c r="F54" s="10"/>
      <c r="G54" s="10"/>
      <c r="H54" s="10"/>
      <c r="I54" s="10"/>
      <c r="L54" s="29"/>
    </row>
    <row r="55" spans="2:16" ht="20.149999999999999" customHeight="1" x14ac:dyDescent="0.45">
      <c r="B55" s="183" t="s">
        <v>749</v>
      </c>
      <c r="L55" s="29"/>
    </row>
    <row r="56" spans="2:16" ht="20.149999999999999" customHeight="1" x14ac:dyDescent="0.45">
      <c r="B56" s="28"/>
      <c r="L56" s="29"/>
    </row>
    <row r="57" spans="2:16" ht="20.149999999999999" customHeight="1" x14ac:dyDescent="0.45">
      <c r="B57" s="28"/>
      <c r="L57" s="29"/>
    </row>
    <row r="58" spans="2:16" ht="20.149999999999999" customHeight="1" x14ac:dyDescent="0.45">
      <c r="B58" s="28"/>
      <c r="L58" s="29"/>
    </row>
    <row r="59" spans="2:16" ht="20.149999999999999" customHeight="1" x14ac:dyDescent="0.45">
      <c r="B59" s="34"/>
      <c r="C59" s="35"/>
      <c r="D59" s="35"/>
      <c r="J59" s="35"/>
      <c r="K59" s="35"/>
      <c r="L59" s="36"/>
    </row>
    <row r="60" spans="2:16" ht="20.149999999999999" customHeight="1" x14ac:dyDescent="0.45">
      <c r="B60" s="28" t="s">
        <v>24</v>
      </c>
      <c r="J60" s="60" t="s">
        <v>25</v>
      </c>
      <c r="L60" s="29"/>
    </row>
    <row r="61" spans="2:16" ht="19" thickBot="1" x14ac:dyDescent="0.5">
      <c r="B61" s="37"/>
      <c r="C61" s="62"/>
      <c r="D61" s="62"/>
      <c r="E61" s="62"/>
      <c r="F61" s="62"/>
      <c r="G61" s="62"/>
      <c r="H61" s="62"/>
      <c r="I61" s="62"/>
      <c r="J61" s="62"/>
      <c r="K61" s="62"/>
      <c r="L61" s="38"/>
    </row>
    <row r="62" spans="2:16" ht="20.5" x14ac:dyDescent="0.45">
      <c r="F62" s="317"/>
    </row>
    <row r="63" spans="2:16" x14ac:dyDescent="0.45">
      <c r="C63" s="60" t="s">
        <v>837</v>
      </c>
      <c r="D63" s="496" t="str">
        <f>VLOOKUP(C63,'Sales Master'!B$3:D$544,2,0)</f>
        <v>Rice Ball (White - Sesame) 芝麻汤圆</v>
      </c>
      <c r="E63" s="496"/>
      <c r="F63" s="496"/>
    </row>
    <row r="64" spans="2:16" x14ac:dyDescent="0.45">
      <c r="C64" s="60" t="s">
        <v>1100</v>
      </c>
      <c r="D64" s="496" t="str">
        <f>VLOOKUP(C64,'Sales Master'!B$3:D$544,2,0)</f>
        <v>Water Chestnut 马蹄</v>
      </c>
      <c r="E64" s="496"/>
      <c r="F64" s="496"/>
    </row>
    <row r="65" spans="3:3" x14ac:dyDescent="0.45">
      <c r="C65" s="60" t="s">
        <v>1270</v>
      </c>
    </row>
    <row r="66" spans="3:3" x14ac:dyDescent="0.45">
      <c r="C66" s="60" t="s">
        <v>853</v>
      </c>
    </row>
    <row r="171" spans="6:90" x14ac:dyDescent="0.45">
      <c r="F171" s="60" t="s">
        <v>1378</v>
      </c>
      <c r="CL171" s="95">
        <v>8.65</v>
      </c>
    </row>
    <row r="332" spans="2:157" x14ac:dyDescent="0.45">
      <c r="B332" s="60" t="s">
        <v>1376</v>
      </c>
      <c r="C332" s="60" t="s">
        <v>1377</v>
      </c>
      <c r="CL332" s="60">
        <v>38</v>
      </c>
      <c r="FA332" s="60">
        <v>31.2</v>
      </c>
    </row>
  </sheetData>
  <mergeCells count="75">
    <mergeCell ref="D43:F43"/>
    <mergeCell ref="I43:J43"/>
    <mergeCell ref="D64:F64"/>
    <mergeCell ref="J53:K53"/>
    <mergeCell ref="J49:K49"/>
    <mergeCell ref="J51:K51"/>
    <mergeCell ref="D63:F63"/>
    <mergeCell ref="D46:F46"/>
    <mergeCell ref="I46:J46"/>
    <mergeCell ref="D44:F44"/>
    <mergeCell ref="I44:J44"/>
    <mergeCell ref="D45:F45"/>
    <mergeCell ref="I45:J45"/>
    <mergeCell ref="I19:J19"/>
    <mergeCell ref="D21:F21"/>
    <mergeCell ref="N12:R12"/>
    <mergeCell ref="B13:D13"/>
    <mergeCell ref="K13:L13"/>
    <mergeCell ref="B14:D14"/>
    <mergeCell ref="K14:L14"/>
    <mergeCell ref="D17:F17"/>
    <mergeCell ref="I20:J20"/>
    <mergeCell ref="D18:F18"/>
    <mergeCell ref="I17:J17"/>
    <mergeCell ref="I21:J21"/>
    <mergeCell ref="I18:J18"/>
    <mergeCell ref="D20:F20"/>
    <mergeCell ref="D19:F19"/>
    <mergeCell ref="B1:L8"/>
    <mergeCell ref="K10:L10"/>
    <mergeCell ref="B11:D11"/>
    <mergeCell ref="F11:H15"/>
    <mergeCell ref="K11:L11"/>
    <mergeCell ref="B12:D12"/>
    <mergeCell ref="K12:L12"/>
    <mergeCell ref="K15:L15"/>
    <mergeCell ref="B15:D15"/>
    <mergeCell ref="D22:F22"/>
    <mergeCell ref="D23:F23"/>
    <mergeCell ref="I25:J25"/>
    <mergeCell ref="D24:F24"/>
    <mergeCell ref="I24:J24"/>
    <mergeCell ref="I22:J22"/>
    <mergeCell ref="D25:F25"/>
    <mergeCell ref="I23:J23"/>
    <mergeCell ref="D28:F28"/>
    <mergeCell ref="I28:J28"/>
    <mergeCell ref="I39:J39"/>
    <mergeCell ref="I33:J33"/>
    <mergeCell ref="D26:F26"/>
    <mergeCell ref="D27:F27"/>
    <mergeCell ref="I26:J26"/>
    <mergeCell ref="I27:J27"/>
    <mergeCell ref="D33:F33"/>
    <mergeCell ref="D39:F39"/>
    <mergeCell ref="I29:J29"/>
    <mergeCell ref="D29:F29"/>
    <mergeCell ref="I37:J37"/>
    <mergeCell ref="D37:F37"/>
    <mergeCell ref="D34:F34"/>
    <mergeCell ref="I34:J34"/>
    <mergeCell ref="D31:F31"/>
    <mergeCell ref="D30:F30"/>
    <mergeCell ref="D38:F38"/>
    <mergeCell ref="I30:J30"/>
    <mergeCell ref="I38:J38"/>
    <mergeCell ref="I31:J31"/>
    <mergeCell ref="D32:F32"/>
    <mergeCell ref="D40:F40"/>
    <mergeCell ref="I32:J32"/>
    <mergeCell ref="I40:J40"/>
    <mergeCell ref="D36:F36"/>
    <mergeCell ref="D35:F35"/>
    <mergeCell ref="I36:J36"/>
    <mergeCell ref="I35:J35"/>
  </mergeCells>
  <conditionalFormatting sqref="C42">
    <cfRule type="duplicateValues" dxfId="135" priority="1"/>
  </conditionalFormatting>
  <pageMargins left="0.70866141732283505" right="0" top="0" bottom="0" header="0.31496062992126" footer="0.31496062992126"/>
  <pageSetup paperSize="9" scale="68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E4324-8691-4CD3-A860-15A16E0D104D}">
  <sheetPr codeName="Sheet7">
    <tabColor rgb="FF7030A0"/>
    <pageSetUpPr fitToPage="1"/>
  </sheetPr>
  <dimension ref="B1:FA317"/>
  <sheetViews>
    <sheetView topLeftCell="A8" zoomScale="98" zoomScaleNormal="98" workbookViewId="0">
      <selection activeCell="G32" sqref="G3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17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6" width="12.54296875" style="60"/>
    <col min="17" max="17" width="31.453125" style="60" customWidth="1"/>
    <col min="18" max="16384" width="12.54296875" style="60"/>
  </cols>
  <sheetData>
    <row r="1" spans="2:18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8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8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8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8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8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8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8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8" ht="19" thickBot="1" x14ac:dyDescent="0.5">
      <c r="B9" s="12"/>
      <c r="C9" s="60" t="s">
        <v>334</v>
      </c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424</v>
      </c>
      <c r="J10" s="17" t="s">
        <v>26</v>
      </c>
      <c r="K10" s="442">
        <v>202310470</v>
      </c>
      <c r="L10" s="443"/>
    </row>
    <row r="11" spans="2:18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 xml:space="preserve">顺兴                                                      Margaret Drive Hawker Centre           38A Margaret Drive, #02-24   Singapore 142038      </v>
      </c>
      <c r="G11" s="445"/>
      <c r="H11" s="446"/>
      <c r="J11" s="18" t="s">
        <v>9</v>
      </c>
      <c r="K11" s="460">
        <v>45219</v>
      </c>
      <c r="L11" s="461"/>
    </row>
    <row r="12" spans="2:18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N12" s="437" t="s">
        <v>1220</v>
      </c>
      <c r="O12" s="437"/>
      <c r="P12" s="437"/>
      <c r="Q12" s="437"/>
      <c r="R12" s="437"/>
    </row>
    <row r="13" spans="2:18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806</v>
      </c>
      <c r="L13" s="466"/>
    </row>
    <row r="14" spans="2:18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8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483"/>
      <c r="L15" s="484"/>
    </row>
    <row r="16" spans="2:18" ht="19" thickBot="1" x14ac:dyDescent="0.5">
      <c r="J16" s="45"/>
    </row>
    <row r="17" spans="2:18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2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8" ht="20.149999999999999" customHeight="1" x14ac:dyDescent="0.45">
      <c r="B18" s="101"/>
      <c r="C18" s="338" t="s">
        <v>817</v>
      </c>
      <c r="D18" s="496" t="str">
        <f>VLOOKUP(C18,'Sales Master'!B$3:D$544,2,0)</f>
        <v xml:space="preserve">Fresh Soursop 红毛榴莲 </v>
      </c>
      <c r="E18" s="496"/>
      <c r="F18" s="496"/>
      <c r="G18" s="45">
        <v>1</v>
      </c>
      <c r="H18" s="241" t="str">
        <f>VLOOKUP(C18,'Sales Master'!B$3:F$936,5,0)</f>
        <v>5 KGS/ Tub桶</v>
      </c>
      <c r="I18" s="432" t="str">
        <f>VLOOKUP(C18,'Sales Master'!B$3:E$936,4,0)</f>
        <v>DO!</v>
      </c>
      <c r="J18" s="432"/>
      <c r="K18" s="118">
        <f>VLOOKUP(C18,'Sales Master'!B$3:CL$936,89,0)</f>
        <v>34</v>
      </c>
      <c r="L18" s="98">
        <f t="shared" ref="L18" si="0">K18*G18</f>
        <v>34</v>
      </c>
      <c r="N18" s="247">
        <f>VLOOKUP(C18,'Sales Master'!$B$3:$FA$3051,156,0)</f>
        <v>25.47</v>
      </c>
      <c r="O18" s="247">
        <f t="shared" ref="O18" si="1">K18-N18</f>
        <v>8.5300000000000011</v>
      </c>
      <c r="P18" s="247">
        <f t="shared" ref="P18" si="2">O18*G18</f>
        <v>8.5300000000000011</v>
      </c>
      <c r="Q18" s="95"/>
      <c r="R18" s="121"/>
    </row>
    <row r="19" spans="2:18" ht="20.149999999999999" customHeight="1" x14ac:dyDescent="0.45">
      <c r="B19" s="21"/>
      <c r="C19" s="338" t="s">
        <v>959</v>
      </c>
      <c r="D19" s="496" t="str">
        <f>VLOOKUP(C19,'Sales Master'!B$3:D$544,2,0)</f>
        <v>Pearl Barley 薏米</v>
      </c>
      <c r="E19" s="496"/>
      <c r="F19" s="496"/>
      <c r="G19" s="45">
        <v>5</v>
      </c>
      <c r="H19" s="241" t="str">
        <f>VLOOKUP(C19,'Sales Master'!B$3:F$936,5,0)</f>
        <v>1 kg</v>
      </c>
      <c r="I19" s="432" t="str">
        <f>VLOOKUP(C19,'Sales Master'!B$3:E$936,4,0)</f>
        <v>-</v>
      </c>
      <c r="J19" s="432"/>
      <c r="K19" s="118">
        <f>VLOOKUP(C19,'Sales Master'!B$3:CL$936,89,0)</f>
        <v>2.2000000000000002</v>
      </c>
      <c r="L19" s="98">
        <f>K19*G19</f>
        <v>11</v>
      </c>
      <c r="N19" s="247">
        <f>VLOOKUP(C19,'Sales Master'!$B$3:$FA$3051,156,0)</f>
        <v>1.52</v>
      </c>
      <c r="O19" s="247">
        <f>K19-N19</f>
        <v>0.68000000000000016</v>
      </c>
      <c r="P19" s="247">
        <f>O19*G19</f>
        <v>3.4000000000000008</v>
      </c>
      <c r="Q19" s="95"/>
    </row>
    <row r="20" spans="2:18" ht="20.149999999999999" customHeight="1" x14ac:dyDescent="0.45">
      <c r="B20" s="21"/>
      <c r="C20" s="338" t="s">
        <v>1020</v>
      </c>
      <c r="D20" s="496" t="str">
        <f>VLOOKUP(C20,'Sales Master'!B$3:D$544,2,0)</f>
        <v>Sea Coconut 海底椰</v>
      </c>
      <c r="E20" s="496"/>
      <c r="F20" s="496"/>
      <c r="G20" s="45">
        <v>1</v>
      </c>
      <c r="H20" s="241" t="str">
        <f>VLOOKUP(C20,'Sales Master'!B$3:F$936,5,0)</f>
        <v>1 Can X A10</v>
      </c>
      <c r="I20" s="432" t="str">
        <f>VLOOKUP(C20,'Sales Master'!B$3:E$936,4,0)</f>
        <v>Chefs</v>
      </c>
      <c r="J20" s="432"/>
      <c r="K20" s="118">
        <f>VLOOKUP(C20,'Sales Master'!B$3:CL$936,89,0)</f>
        <v>19</v>
      </c>
      <c r="L20" s="98">
        <f t="shared" ref="L20" si="3">K20*G20</f>
        <v>19</v>
      </c>
      <c r="N20" s="247">
        <f>VLOOKUP(C20,'Sales Master'!$B$3:$FA$3051,156,0)</f>
        <v>14.333333333333334</v>
      </c>
      <c r="O20" s="247">
        <f t="shared" ref="O20" si="4">K20-N20</f>
        <v>4.6666666666666661</v>
      </c>
      <c r="P20" s="247">
        <f t="shared" ref="P20" si="5">O20*G20</f>
        <v>4.6666666666666661</v>
      </c>
      <c r="Q20" s="95"/>
    </row>
    <row r="21" spans="2:18" ht="20.149999999999999" customHeight="1" x14ac:dyDescent="0.45">
      <c r="B21" s="21"/>
      <c r="C21" s="338" t="s">
        <v>1022</v>
      </c>
      <c r="D21" s="496" t="str">
        <f>VLOOKUP(C21,'Sales Master'!B$3:D$544,2,0)</f>
        <v>Nata 椰果芊 15mm</v>
      </c>
      <c r="E21" s="496"/>
      <c r="F21" s="496"/>
      <c r="G21" s="99">
        <v>1</v>
      </c>
      <c r="H21" s="241" t="str">
        <f>VLOOKUP(C21,'Sales Master'!B$3:F$936,5,0)</f>
        <v>1 Can X A10</v>
      </c>
      <c r="I21" s="432" t="str">
        <f>VLOOKUP(C21,'Sales Master'!B$3:E$936,4,0)</f>
        <v>Chefs</v>
      </c>
      <c r="J21" s="432"/>
      <c r="K21" s="118">
        <f>VLOOKUP(C21,'Sales Master'!B$3:CL$936,89,0)</f>
        <v>9.5</v>
      </c>
      <c r="L21" s="98">
        <f t="shared" ref="L21:L23" si="6">K21*G21</f>
        <v>9.5</v>
      </c>
      <c r="N21" s="247">
        <f>VLOOKUP(C21,'Sales Master'!$B$3:$FA$3051,156,0)</f>
        <v>6.916666666666667</v>
      </c>
      <c r="O21" s="247">
        <f t="shared" ref="O21:O23" si="7">K21-N21</f>
        <v>2.583333333333333</v>
      </c>
      <c r="P21" s="247">
        <f t="shared" ref="P21:P23" si="8">O21*G21</f>
        <v>2.583333333333333</v>
      </c>
      <c r="Q21" s="95"/>
    </row>
    <row r="22" spans="2:18" ht="20.149999999999999" customHeight="1" x14ac:dyDescent="0.45">
      <c r="B22" s="21"/>
      <c r="C22" s="338" t="s">
        <v>1077</v>
      </c>
      <c r="D22" s="496" t="str">
        <f>VLOOKUP(C22,'Sales Master'!B$3:D$544,2,0)</f>
        <v>Brown Sugar 黑糖</v>
      </c>
      <c r="E22" s="496"/>
      <c r="F22" s="496"/>
      <c r="G22" s="99">
        <v>1</v>
      </c>
      <c r="H22" s="241" t="str">
        <f>VLOOKUP(C22,'Sales Master'!B$3:F$936,5,0)</f>
        <v>6 kgs</v>
      </c>
      <c r="I22" s="432" t="str">
        <f>VLOOKUP(C22,'Sales Master'!B$3:E$936,4,0)</f>
        <v>Star</v>
      </c>
      <c r="J22" s="432"/>
      <c r="K22" s="118">
        <f>VLOOKUP(C22,'Sales Master'!B$3:CL$936,89,0)</f>
        <v>16.5</v>
      </c>
      <c r="L22" s="98">
        <f>K22*G22</f>
        <v>16.5</v>
      </c>
      <c r="N22" s="247">
        <f>VLOOKUP(C22,'Sales Master'!$B$3:$FA$3051,156,0)</f>
        <v>12</v>
      </c>
      <c r="O22" s="247">
        <f>K22-N22</f>
        <v>4.5</v>
      </c>
      <c r="P22" s="247">
        <f>O22*G22</f>
        <v>4.5</v>
      </c>
      <c r="Q22" s="95"/>
    </row>
    <row r="23" spans="2:18" ht="20.149999999999999" customHeight="1" x14ac:dyDescent="0.45">
      <c r="B23" s="21"/>
      <c r="C23" s="338" t="s">
        <v>1079</v>
      </c>
      <c r="D23" s="496" t="str">
        <f>VLOOKUP(C23,'Sales Master'!B$3:D$544,2,0)</f>
        <v>Red Sugar 赤糖</v>
      </c>
      <c r="E23" s="496"/>
      <c r="F23" s="496"/>
      <c r="G23" s="45">
        <v>1</v>
      </c>
      <c r="H23" s="241" t="str">
        <f>VLOOKUP(C23,'Sales Master'!B$3:F$936,5,0)</f>
        <v>6 kgs</v>
      </c>
      <c r="I23" s="432" t="str">
        <f>VLOOKUP(C23,'Sales Master'!B$3:E$936,4,0)</f>
        <v>Star</v>
      </c>
      <c r="J23" s="432"/>
      <c r="K23" s="118">
        <f>VLOOKUP(C23,'Sales Master'!B$3:CL$936,89,0)</f>
        <v>16.5</v>
      </c>
      <c r="L23" s="98">
        <f t="shared" si="6"/>
        <v>16.5</v>
      </c>
      <c r="N23" s="247">
        <f>VLOOKUP(C23,'Sales Master'!$B$3:$FA$3051,156,0)</f>
        <v>12</v>
      </c>
      <c r="O23" s="247">
        <f t="shared" si="7"/>
        <v>4.5</v>
      </c>
      <c r="P23" s="247">
        <f t="shared" si="8"/>
        <v>4.5</v>
      </c>
      <c r="Q23" s="95"/>
    </row>
    <row r="24" spans="2:18" ht="20.149999999999999" customHeight="1" x14ac:dyDescent="0.45">
      <c r="B24" s="21"/>
      <c r="C24" s="338"/>
      <c r="D24" s="496"/>
      <c r="E24" s="496"/>
      <c r="F24" s="496"/>
      <c r="G24" s="45"/>
      <c r="H24" s="241"/>
      <c r="I24" s="432"/>
      <c r="J24" s="432"/>
      <c r="K24" s="118"/>
      <c r="L24" s="98"/>
      <c r="N24" s="247"/>
      <c r="O24" s="247"/>
      <c r="P24" s="247"/>
      <c r="Q24" s="95"/>
    </row>
    <row r="25" spans="2:18" ht="20.149999999999999" customHeight="1" x14ac:dyDescent="0.45">
      <c r="B25" s="21"/>
      <c r="C25" s="338"/>
      <c r="D25" s="496"/>
      <c r="E25" s="496"/>
      <c r="F25" s="496"/>
      <c r="G25" s="45"/>
      <c r="H25" s="241"/>
      <c r="I25" s="432"/>
      <c r="J25" s="432"/>
      <c r="K25" s="118"/>
      <c r="L25" s="98"/>
      <c r="N25" s="247"/>
      <c r="O25" s="247"/>
      <c r="P25" s="247"/>
      <c r="Q25" s="95"/>
    </row>
    <row r="26" spans="2:18" ht="20.149999999999999" customHeight="1" x14ac:dyDescent="0.45">
      <c r="B26" s="21"/>
      <c r="C26" s="338"/>
      <c r="D26" s="496"/>
      <c r="E26" s="496"/>
      <c r="F26" s="496"/>
      <c r="G26" s="45"/>
      <c r="H26" s="241"/>
      <c r="I26" s="432"/>
      <c r="J26" s="432"/>
      <c r="K26" s="118"/>
      <c r="L26" s="98"/>
      <c r="N26" s="247"/>
      <c r="O26" s="247"/>
      <c r="P26" s="247"/>
      <c r="Q26" s="95"/>
    </row>
    <row r="27" spans="2:18" ht="20.149999999999999" customHeight="1" x14ac:dyDescent="0.45">
      <c r="B27" s="315"/>
      <c r="C27" s="338"/>
      <c r="D27" s="496"/>
      <c r="E27" s="496"/>
      <c r="F27" s="496"/>
      <c r="G27" s="45"/>
      <c r="H27" s="241"/>
      <c r="I27" s="432"/>
      <c r="J27" s="432"/>
      <c r="K27" s="118"/>
      <c r="L27" s="98"/>
      <c r="N27" s="247"/>
      <c r="O27" s="247"/>
      <c r="P27" s="247"/>
      <c r="Q27" s="95"/>
    </row>
    <row r="28" spans="2:18" ht="20.149999999999999" customHeight="1" x14ac:dyDescent="0.45">
      <c r="B28" s="21"/>
      <c r="C28" s="305" t="s">
        <v>1740</v>
      </c>
      <c r="E28" s="69"/>
      <c r="F28" s="69"/>
      <c r="G28" s="99"/>
      <c r="H28" s="65"/>
      <c r="I28" s="65"/>
      <c r="J28" s="65"/>
      <c r="K28" s="22"/>
      <c r="L28" s="98"/>
      <c r="N28" s="247"/>
      <c r="O28" s="247"/>
      <c r="P28" s="247"/>
      <c r="Q28" s="95"/>
    </row>
    <row r="29" spans="2:18" ht="20.149999999999999" customHeight="1" x14ac:dyDescent="0.45">
      <c r="B29" s="21"/>
      <c r="C29" s="338" t="s">
        <v>897</v>
      </c>
      <c r="D29" s="496" t="str">
        <f>VLOOKUP(C29,'Sales Master'!B$3:D$544,2,0)</f>
        <v>Tapioca Flour 茨粉</v>
      </c>
      <c r="E29" s="496"/>
      <c r="F29" s="496"/>
      <c r="G29" s="99">
        <v>1</v>
      </c>
      <c r="H29" s="322" t="str">
        <f>VLOOKUP(C29,'Sales Master'!B$3:F$936,5,0)</f>
        <v>500gm/pkt</v>
      </c>
      <c r="I29" s="432" t="str">
        <f>VLOOKUP(C29,'Sales Master'!B$3:E$936,4,0)</f>
        <v>F/MAN</v>
      </c>
      <c r="J29" s="432"/>
      <c r="K29" s="22">
        <v>1</v>
      </c>
      <c r="L29" s="98"/>
      <c r="N29" s="247"/>
      <c r="O29" s="247"/>
      <c r="P29" s="247"/>
      <c r="Q29" s="95"/>
    </row>
    <row r="30" spans="2:18" ht="20.149999999999999" customHeight="1" x14ac:dyDescent="0.45">
      <c r="B30" s="21"/>
      <c r="C30" s="338" t="s">
        <v>858</v>
      </c>
      <c r="D30" s="496" t="str">
        <f>VLOOKUP(C30,'Sales Master'!B$3:D$544,2,0)</f>
        <v>Tapioca木薯</v>
      </c>
      <c r="E30" s="496"/>
      <c r="F30" s="496"/>
      <c r="G30" s="99">
        <v>1</v>
      </c>
      <c r="H30" s="322" t="s">
        <v>351</v>
      </c>
      <c r="I30" s="432" t="str">
        <f>VLOOKUP(C30,'Sales Master'!B$3:E$936,4,0)</f>
        <v>Malaysia</v>
      </c>
      <c r="J30" s="432"/>
      <c r="K30" s="22">
        <v>2</v>
      </c>
      <c r="L30" s="98"/>
      <c r="N30" s="247"/>
      <c r="O30" s="247"/>
      <c r="P30" s="247"/>
      <c r="Q30" s="95"/>
    </row>
    <row r="31" spans="2:18" ht="20.149999999999999" customHeight="1" x14ac:dyDescent="0.45">
      <c r="B31" s="21"/>
      <c r="C31" s="338" t="s">
        <v>1103</v>
      </c>
      <c r="D31" s="496" t="str">
        <f>VLOOKUP(C31,'Sales Master'!B$3:D$544,2,0)</f>
        <v>Bonton Ginger 文冬姜</v>
      </c>
      <c r="E31" s="496"/>
      <c r="F31" s="496"/>
      <c r="G31" s="99">
        <v>1</v>
      </c>
      <c r="H31" s="322" t="str">
        <f>VLOOKUP(C31,'Sales Master'!B$3:F$936,5,0)</f>
        <v>1 kg</v>
      </c>
      <c r="I31" s="432" t="str">
        <f>VLOOKUP(C31,'Sales Master'!B$3:E$936,4,0)</f>
        <v>Malaysia</v>
      </c>
      <c r="J31" s="432"/>
      <c r="K31" s="22">
        <v>9</v>
      </c>
      <c r="L31" s="98"/>
      <c r="N31" s="247"/>
      <c r="O31" s="247"/>
      <c r="P31" s="247"/>
      <c r="Q31" s="95"/>
    </row>
    <row r="32" spans="2:18" ht="20.149999999999999" customHeight="1" thickBot="1" x14ac:dyDescent="0.5">
      <c r="B32" s="24"/>
      <c r="C32" s="73"/>
      <c r="D32" s="323"/>
      <c r="E32" s="323"/>
      <c r="F32" s="323"/>
      <c r="G32" s="25"/>
      <c r="H32" s="66"/>
      <c r="I32" s="166"/>
      <c r="J32" s="166"/>
      <c r="K32" s="119"/>
      <c r="L32" s="171" t="s">
        <v>334</v>
      </c>
    </row>
    <row r="33" spans="2:16" ht="20.149999999999999" customHeight="1" thickBot="1" x14ac:dyDescent="0.5">
      <c r="B33" s="28"/>
      <c r="L33" s="29"/>
    </row>
    <row r="34" spans="2:16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>
        <f>SUM(L18:L33)</f>
        <v>106.5</v>
      </c>
      <c r="M34" s="95">
        <f>SUM(P18:P32)-L34*0.02</f>
        <v>26.05</v>
      </c>
      <c r="N34" s="248">
        <f>M34/L34</f>
        <v>0.24460093896713617</v>
      </c>
    </row>
    <row r="35" spans="2:16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>
        <f>L37</f>
        <v>7.8888888888888893</v>
      </c>
      <c r="M35" s="95"/>
    </row>
    <row r="36" spans="2:16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>
        <f>L34/108*100</f>
        <v>98.611111111111114</v>
      </c>
    </row>
    <row r="37" spans="2:16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0.08</v>
      </c>
      <c r="L37" s="44">
        <f>L36*K37</f>
        <v>7.8888888888888893</v>
      </c>
      <c r="O37" s="95"/>
      <c r="P37" s="95"/>
    </row>
    <row r="38" spans="2:16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>
        <f>L36+L37</f>
        <v>106.5</v>
      </c>
      <c r="M38" s="95"/>
      <c r="N38" s="95"/>
      <c r="O38" s="95"/>
      <c r="P38" s="95"/>
    </row>
    <row r="39" spans="2:16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6" ht="20.149999999999999" customHeight="1" x14ac:dyDescent="0.45">
      <c r="B40" s="183" t="s">
        <v>749</v>
      </c>
      <c r="L40" s="29"/>
    </row>
    <row r="41" spans="2:16" ht="20.149999999999999" customHeight="1" x14ac:dyDescent="0.45">
      <c r="B41" s="28"/>
      <c r="L41" s="29"/>
    </row>
    <row r="42" spans="2:16" ht="20.149999999999999" customHeight="1" x14ac:dyDescent="0.45">
      <c r="B42" s="28"/>
      <c r="L42" s="29"/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34"/>
      <c r="C44" s="35"/>
      <c r="D44" s="35"/>
      <c r="J44" s="35"/>
      <c r="K44" s="35"/>
      <c r="L44" s="36"/>
    </row>
    <row r="45" spans="2:16" ht="20.149999999999999" customHeight="1" x14ac:dyDescent="0.45">
      <c r="B45" s="28" t="s">
        <v>24</v>
      </c>
      <c r="J45" s="60" t="s">
        <v>25</v>
      </c>
      <c r="L45" s="29"/>
    </row>
    <row r="46" spans="2:16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7" spans="2:16" ht="20.5" x14ac:dyDescent="0.45">
      <c r="F47" s="317"/>
    </row>
    <row r="48" spans="2:16" x14ac:dyDescent="0.45">
      <c r="C48" s="60" t="s">
        <v>837</v>
      </c>
      <c r="D48" s="496" t="str">
        <f>VLOOKUP(C48,'Sales Master'!B$3:D$544,2,0)</f>
        <v>Rice Ball (White - Sesame) 芝麻汤圆</v>
      </c>
      <c r="E48" s="496"/>
      <c r="F48" s="496"/>
    </row>
    <row r="49" spans="3:6" x14ac:dyDescent="0.45">
      <c r="C49" s="60" t="s">
        <v>1100</v>
      </c>
      <c r="D49" s="496" t="str">
        <f>VLOOKUP(C49,'Sales Master'!B$3:D$544,2,0)</f>
        <v>Water Chestnut 马蹄</v>
      </c>
      <c r="E49" s="496"/>
      <c r="F49" s="496"/>
    </row>
    <row r="156" spans="6:90" x14ac:dyDescent="0.45">
      <c r="F156" s="60" t="s">
        <v>1378</v>
      </c>
      <c r="CL156" s="95">
        <v>8.65</v>
      </c>
    </row>
    <row r="317" spans="2:157" x14ac:dyDescent="0.45">
      <c r="B317" s="60" t="s">
        <v>1376</v>
      </c>
      <c r="C317" s="60" t="s">
        <v>1377</v>
      </c>
      <c r="CL317" s="60">
        <v>38</v>
      </c>
      <c r="FA317" s="60">
        <v>31.2</v>
      </c>
    </row>
  </sheetData>
  <mergeCells count="47">
    <mergeCell ref="B15:D15"/>
    <mergeCell ref="K15:L15"/>
    <mergeCell ref="B1:L8"/>
    <mergeCell ref="K10:L10"/>
    <mergeCell ref="B11:D11"/>
    <mergeCell ref="F11:H15"/>
    <mergeCell ref="K11:L11"/>
    <mergeCell ref="B12:D12"/>
    <mergeCell ref="K12:L12"/>
    <mergeCell ref="N12:R12"/>
    <mergeCell ref="B13:D13"/>
    <mergeCell ref="K13:L13"/>
    <mergeCell ref="B14:D14"/>
    <mergeCell ref="K14:L14"/>
    <mergeCell ref="D17:F17"/>
    <mergeCell ref="I17:J17"/>
    <mergeCell ref="D18:F18"/>
    <mergeCell ref="I18:J18"/>
    <mergeCell ref="I20:J20"/>
    <mergeCell ref="D20:F20"/>
    <mergeCell ref="D19:F19"/>
    <mergeCell ref="I19:J19"/>
    <mergeCell ref="D26:F26"/>
    <mergeCell ref="I26:J26"/>
    <mergeCell ref="D24:F24"/>
    <mergeCell ref="I25:J25"/>
    <mergeCell ref="I24:J24"/>
    <mergeCell ref="D25:F25"/>
    <mergeCell ref="D23:F23"/>
    <mergeCell ref="D22:F22"/>
    <mergeCell ref="I23:J23"/>
    <mergeCell ref="I22:J22"/>
    <mergeCell ref="D21:F21"/>
    <mergeCell ref="I21:J21"/>
    <mergeCell ref="D49:F49"/>
    <mergeCell ref="J38:K38"/>
    <mergeCell ref="D48:F48"/>
    <mergeCell ref="I27:J27"/>
    <mergeCell ref="J34:K34"/>
    <mergeCell ref="J36:K36"/>
    <mergeCell ref="D30:F30"/>
    <mergeCell ref="I30:J30"/>
    <mergeCell ref="D27:F27"/>
    <mergeCell ref="D31:F31"/>
    <mergeCell ref="I31:J31"/>
    <mergeCell ref="D29:F29"/>
    <mergeCell ref="I29:J29"/>
  </mergeCells>
  <conditionalFormatting sqref="C28">
    <cfRule type="duplicateValues" dxfId="134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69E45-88D9-4892-A9E6-D365FA20C0F0}">
  <sheetPr codeName="Sheet49">
    <tabColor rgb="FFFFC000"/>
    <pageSetUpPr fitToPage="1"/>
  </sheetPr>
  <dimension ref="B1:Q47"/>
  <sheetViews>
    <sheetView topLeftCell="A23" zoomScaleNormal="100" workbookViewId="0">
      <selection activeCell="B1" sqref="B1:L46"/>
    </sheetView>
  </sheetViews>
  <sheetFormatPr defaultColWidth="12.54296875" defaultRowHeight="18.5" x14ac:dyDescent="0.45"/>
  <cols>
    <col min="1" max="1" width="12.54296875" style="60"/>
    <col min="2" max="2" width="12.54296875" style="60" customWidth="1"/>
    <col min="3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6384" width="12.54296875" style="60"/>
  </cols>
  <sheetData>
    <row r="1" spans="2:17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7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7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7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7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7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7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7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7" ht="19" thickBot="1" x14ac:dyDescent="0.5">
      <c r="B9" s="12"/>
    </row>
    <row r="10" spans="2:17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420</v>
      </c>
      <c r="J10" s="17" t="s">
        <v>26</v>
      </c>
      <c r="K10" s="455">
        <v>202311116</v>
      </c>
      <c r="L10" s="456"/>
    </row>
    <row r="11" spans="2:17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凉凉                                                          Tiong Bahru Market                           30 Seng Poh Road #02-75,             Singapore 168898</v>
      </c>
      <c r="G11" s="445"/>
      <c r="H11" s="446"/>
      <c r="J11" s="18" t="s">
        <v>9</v>
      </c>
      <c r="K11" s="460">
        <v>45234</v>
      </c>
      <c r="L11" s="461"/>
    </row>
    <row r="12" spans="2:17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502" t="s">
        <v>312</v>
      </c>
      <c r="L12" s="466"/>
      <c r="N12" s="437" t="s">
        <v>1226</v>
      </c>
      <c r="O12" s="437"/>
      <c r="P12" s="437"/>
      <c r="Q12" s="437"/>
    </row>
    <row r="13" spans="2:17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544</v>
      </c>
      <c r="L13" s="466"/>
    </row>
    <row r="14" spans="2:17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7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483"/>
      <c r="L15" s="484"/>
    </row>
    <row r="16" spans="2:17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353"/>
      <c r="C18" s="338" t="s">
        <v>816</v>
      </c>
      <c r="D18" s="430" t="str">
        <f>VLOOKUP(C18,'Sales Master'!B$3:D$823,2,0)</f>
        <v xml:space="preserve">Fresh Soursop 红毛榴莲 </v>
      </c>
      <c r="E18" s="430"/>
      <c r="F18" s="430"/>
      <c r="G18" s="99">
        <v>1</v>
      </c>
      <c r="H18" s="241" t="str">
        <f>VLOOKUP(C18,'Sales Master'!B$3:F$936,5,0)</f>
        <v>5 KGS/ Pkt包</v>
      </c>
      <c r="I18" s="432" t="str">
        <f>VLOOKUP(C18,'Sales Master'!B$3:E$936,4,0)</f>
        <v>DO!</v>
      </c>
      <c r="J18" s="432"/>
      <c r="K18" s="22">
        <f>VLOOKUP(C18,'Sales Master'!B$3:CP$1214,93,0)</f>
        <v>33</v>
      </c>
      <c r="L18" s="23">
        <f>K18*G18</f>
        <v>33</v>
      </c>
      <c r="N18" s="247">
        <f>VLOOKUP(C18,'Sales Master'!$B$3:$FA$3051,156,0)</f>
        <v>23.67</v>
      </c>
      <c r="O18" s="247">
        <f>K18-N18</f>
        <v>9.3299999999999983</v>
      </c>
      <c r="P18" s="247">
        <f>O18*G18</f>
        <v>9.3299999999999983</v>
      </c>
    </row>
    <row r="19" spans="2:16" ht="20.149999999999999" customHeight="1" x14ac:dyDescent="0.45">
      <c r="B19" s="367"/>
      <c r="C19" s="338" t="s">
        <v>822</v>
      </c>
      <c r="D19" s="501" t="str">
        <f>VLOOKUP(C19,'Sales Master'!B$3:D$823,2,0)</f>
        <v>Strawberry Puree 草莓</v>
      </c>
      <c r="E19" s="501"/>
      <c r="F19" s="501"/>
      <c r="G19" s="99">
        <v>1</v>
      </c>
      <c r="H19" s="241" t="str">
        <f>VLOOKUP(C19,'Sales Master'!B$3:F$936,5,0)</f>
        <v>Box/盒</v>
      </c>
      <c r="I19" s="432" t="str">
        <f>VLOOKUP(C19,'Sales Master'!B$3:E$936,4,0)</f>
        <v>DO!</v>
      </c>
      <c r="J19" s="432"/>
      <c r="K19" s="22">
        <f>VLOOKUP(C19,'Sales Master'!B$3:CP$1214,93,0)</f>
        <v>7</v>
      </c>
      <c r="L19" s="23">
        <f t="shared" ref="L19" si="0">K19*G19</f>
        <v>7</v>
      </c>
      <c r="N19" s="247">
        <f>VLOOKUP(C19,'Sales Master'!$B$3:$FA$3051,156,0)</f>
        <v>4.68</v>
      </c>
      <c r="O19" s="247">
        <f t="shared" ref="O19" si="1">K19-N19</f>
        <v>2.3200000000000003</v>
      </c>
      <c r="P19" s="247">
        <f t="shared" ref="P19" si="2">O19*G19</f>
        <v>2.3200000000000003</v>
      </c>
    </row>
    <row r="20" spans="2:16" ht="20.149999999999999" customHeight="1" x14ac:dyDescent="0.45">
      <c r="B20" s="21"/>
      <c r="C20" s="338" t="s">
        <v>849</v>
      </c>
      <c r="D20" s="430" t="str">
        <f>VLOOKUP(C20,'Sales Master'!B$3:D$823,2,0)</f>
        <v>Tadpole 蝌蚪</v>
      </c>
      <c r="E20" s="430"/>
      <c r="F20" s="430"/>
      <c r="G20" s="99">
        <v>1</v>
      </c>
      <c r="H20" s="241" t="str">
        <f>VLOOKUP(C20,'Sales Master'!B$3:F$936,5,0)</f>
        <v>1 kg/Bag</v>
      </c>
      <c r="I20" s="432" t="str">
        <f>VLOOKUP(C20,'Sales Master'!B$3:E$936,4,0)</f>
        <v>FJ</v>
      </c>
      <c r="J20" s="432"/>
      <c r="K20" s="22">
        <f>VLOOKUP(C20,'Sales Master'!B$3:CP$1214,93,0)</f>
        <v>6.5</v>
      </c>
      <c r="L20" s="23">
        <f t="shared" ref="L20" si="3">K20*G20</f>
        <v>6.5</v>
      </c>
      <c r="N20" s="247">
        <f>VLOOKUP(C20,'Sales Master'!$B$3:$FA$3051,156,0)</f>
        <v>5.5</v>
      </c>
      <c r="O20" s="247">
        <f t="shared" ref="O20" si="4">K20-N20</f>
        <v>1</v>
      </c>
      <c r="P20" s="247">
        <f t="shared" ref="P20" si="5">O20*G20</f>
        <v>1</v>
      </c>
    </row>
    <row r="21" spans="2:16" ht="20.149999999999999" customHeight="1" x14ac:dyDescent="0.45">
      <c r="B21" s="353"/>
      <c r="C21" s="338" t="s">
        <v>1080</v>
      </c>
      <c r="D21" s="430" t="str">
        <f>VLOOKUP(C21,'Sales Master'!B$3:D$823,2,0)</f>
        <v>Fine Sugar 白糖</v>
      </c>
      <c r="E21" s="430"/>
      <c r="F21" s="430"/>
      <c r="G21" s="99">
        <v>2</v>
      </c>
      <c r="H21" s="241" t="str">
        <f>VLOOKUP(C21,'Sales Master'!B$3:F$936,5,0)</f>
        <v>25 KGS</v>
      </c>
      <c r="I21" s="432" t="str">
        <f>VLOOKUP(C21,'Sales Master'!B$3:E$936,4,0)</f>
        <v>MITR PHOL</v>
      </c>
      <c r="J21" s="432"/>
      <c r="K21" s="22">
        <f>VLOOKUP(C21,'Sales Master'!B$3:CP$1214,93,0)</f>
        <v>34</v>
      </c>
      <c r="L21" s="23">
        <f t="shared" ref="L21" si="6">K21*G21</f>
        <v>68</v>
      </c>
      <c r="N21" s="247">
        <f>VLOOKUP(C21,'Sales Master'!$B$3:$FA$3051,156,0)</f>
        <v>26.784000000000002</v>
      </c>
      <c r="O21" s="247">
        <f t="shared" ref="O21" si="7">K21-N21</f>
        <v>7.2159999999999975</v>
      </c>
      <c r="P21" s="247">
        <f t="shared" ref="P21" si="8">O21*G21</f>
        <v>14.431999999999995</v>
      </c>
    </row>
    <row r="22" spans="2:16" ht="20.149999999999999" customHeight="1" x14ac:dyDescent="0.45">
      <c r="B22" s="367"/>
      <c r="C22" s="338" t="s">
        <v>1093</v>
      </c>
      <c r="D22" s="430" t="str">
        <f>VLOOKUP(C22,'Sales Master'!B$3:D$823,2,0)</f>
        <v>Sweet Potato 番薯</v>
      </c>
      <c r="E22" s="430"/>
      <c r="F22" s="430"/>
      <c r="G22" s="99">
        <v>10</v>
      </c>
      <c r="H22" s="241" t="str">
        <f>VLOOKUP(C22,'Sales Master'!B$3:F$936,5,0)</f>
        <v>1 KG</v>
      </c>
      <c r="I22" s="432" t="str">
        <f>VLOOKUP(C22,'Sales Master'!B$3:E$936,4,0)</f>
        <v>Malaysia</v>
      </c>
      <c r="J22" s="432"/>
      <c r="K22" s="22">
        <f>VLOOKUP(C22,'Sales Master'!B$3:CP$1214,93,0)</f>
        <v>2.6</v>
      </c>
      <c r="L22" s="23">
        <f t="shared" ref="L22" si="9">K22*G22</f>
        <v>26</v>
      </c>
      <c r="N22" s="247">
        <f>VLOOKUP(C22,'Sales Master'!$B$3:$FA$3051,156,0)</f>
        <v>1.75</v>
      </c>
      <c r="O22" s="247">
        <f t="shared" ref="O22" si="10">K22-N22</f>
        <v>0.85000000000000009</v>
      </c>
      <c r="P22" s="247">
        <f t="shared" ref="P22" si="11">O22*G22</f>
        <v>8.5</v>
      </c>
    </row>
    <row r="23" spans="2:16" ht="20.149999999999999" customHeight="1" x14ac:dyDescent="0.45">
      <c r="B23" s="21"/>
      <c r="C23" s="338" t="s">
        <v>1098</v>
      </c>
      <c r="D23" s="430" t="str">
        <f>VLOOKUP(C23,'Sales Master'!B$3:D$823,2,0)</f>
        <v>Pandan Leaf 班兰叶</v>
      </c>
      <c r="E23" s="430"/>
      <c r="F23" s="430"/>
      <c r="G23" s="99">
        <v>5</v>
      </c>
      <c r="H23" s="241" t="str">
        <f>VLOOKUP(C23,'Sales Master'!B$3:F$936,5,0)</f>
        <v>1 kg</v>
      </c>
      <c r="I23" s="432" t="str">
        <f>VLOOKUP(C23,'Sales Master'!B$3:E$936,4,0)</f>
        <v>-</v>
      </c>
      <c r="J23" s="432"/>
      <c r="K23" s="22">
        <f>VLOOKUP(C23,'Sales Master'!B$3:CP$1214,93,0)</f>
        <v>1.9</v>
      </c>
      <c r="L23" s="23">
        <f t="shared" ref="L23" si="12">K23*G23</f>
        <v>9.5</v>
      </c>
      <c r="N23" s="247">
        <f>VLOOKUP(C23,'Sales Master'!$B$3:$FA$3051,156,0)</f>
        <v>1.1000000000000001</v>
      </c>
      <c r="O23" s="247">
        <f t="shared" ref="O23" si="13">K23-N23</f>
        <v>0.79999999999999982</v>
      </c>
      <c r="P23" s="247">
        <f t="shared" ref="P23" si="14">O23*G23</f>
        <v>3.9999999999999991</v>
      </c>
    </row>
    <row r="24" spans="2:16" ht="20.149999999999999" customHeight="1" x14ac:dyDescent="0.45">
      <c r="B24" s="353"/>
      <c r="C24" s="338"/>
      <c r="D24" s="430"/>
      <c r="E24" s="430"/>
      <c r="F24" s="430"/>
      <c r="G24" s="99"/>
      <c r="H24" s="241"/>
      <c r="I24" s="432"/>
      <c r="J24" s="432"/>
      <c r="K24" s="22"/>
      <c r="L24" s="23"/>
      <c r="N24" s="247"/>
      <c r="O24" s="247"/>
      <c r="P24" s="247"/>
    </row>
    <row r="25" spans="2:16" ht="20.149999999999999" customHeight="1" x14ac:dyDescent="0.45">
      <c r="B25" s="353"/>
      <c r="C25" s="338"/>
      <c r="D25" s="430"/>
      <c r="E25" s="430"/>
      <c r="F25" s="430"/>
      <c r="G25" s="99"/>
      <c r="H25" s="241"/>
      <c r="I25" s="432"/>
      <c r="J25" s="432"/>
      <c r="K25" s="22"/>
      <c r="L25" s="23"/>
      <c r="N25" s="247"/>
      <c r="O25" s="247"/>
      <c r="P25" s="247"/>
    </row>
    <row r="26" spans="2:16" ht="20.149999999999999" customHeight="1" x14ac:dyDescent="0.45">
      <c r="B26" s="353"/>
      <c r="C26" s="338"/>
      <c r="D26" s="430"/>
      <c r="E26" s="430"/>
      <c r="F26" s="430"/>
      <c r="G26" s="99"/>
      <c r="H26" s="241"/>
      <c r="I26" s="432"/>
      <c r="J26" s="432"/>
      <c r="K26" s="22"/>
      <c r="L26" s="23"/>
      <c r="N26" s="247"/>
      <c r="O26" s="247"/>
      <c r="P26" s="247"/>
    </row>
    <row r="27" spans="2:16" ht="20.149999999999999" customHeight="1" x14ac:dyDescent="0.45">
      <c r="B27" s="21"/>
      <c r="C27" s="338"/>
      <c r="D27" s="430"/>
      <c r="E27" s="430"/>
      <c r="F27" s="430"/>
      <c r="G27" s="99"/>
      <c r="H27" s="241"/>
      <c r="I27" s="432"/>
      <c r="J27" s="432"/>
      <c r="K27" s="22"/>
      <c r="L27" s="23"/>
      <c r="N27" s="247"/>
      <c r="O27" s="247"/>
      <c r="P27" s="247"/>
    </row>
    <row r="28" spans="2:16" ht="20.149999999999999" customHeight="1" x14ac:dyDescent="0.45">
      <c r="B28" s="21"/>
      <c r="D28" s="69"/>
      <c r="E28" s="69"/>
      <c r="F28" s="69"/>
      <c r="G28" s="99"/>
      <c r="H28" s="206"/>
      <c r="I28" s="322"/>
      <c r="J28" s="322"/>
      <c r="K28" s="96"/>
      <c r="L28" s="23"/>
      <c r="N28" s="247"/>
      <c r="O28" s="247"/>
      <c r="P28" s="247"/>
    </row>
    <row r="29" spans="2:16" ht="20.149999999999999" customHeight="1" x14ac:dyDescent="0.45">
      <c r="B29" s="21"/>
      <c r="C29" s="305" t="s">
        <v>1742</v>
      </c>
      <c r="E29" s="69"/>
      <c r="F29" s="69"/>
      <c r="G29" s="99"/>
      <c r="H29" s="65"/>
      <c r="I29" s="65"/>
      <c r="J29" s="65"/>
      <c r="K29" s="22"/>
      <c r="L29" s="23"/>
      <c r="N29" s="247"/>
      <c r="O29" s="247"/>
      <c r="P29" s="247"/>
    </row>
    <row r="30" spans="2:16" ht="20.149999999999999" customHeight="1" x14ac:dyDescent="0.45">
      <c r="B30" s="21"/>
      <c r="C30" s="338" t="s">
        <v>1080</v>
      </c>
      <c r="D30" s="430" t="str">
        <f>VLOOKUP(C30,'Sales Master'!B$3:D$643,2,0)</f>
        <v>Fine Sugar 白糖</v>
      </c>
      <c r="E30" s="430"/>
      <c r="F30" s="430"/>
      <c r="G30" s="99">
        <v>1</v>
      </c>
      <c r="H30" s="206" t="str">
        <f>VLOOKUP(C30,'Sales Master'!B$3:F$936,5,0)</f>
        <v>25 KGS</v>
      </c>
      <c r="I30" s="432" t="str">
        <f>VLOOKUP(C30,'Sales Master'!B$3:E$936,4,0)</f>
        <v>MITR PHOL</v>
      </c>
      <c r="J30" s="432"/>
      <c r="K30" s="22">
        <v>34</v>
      </c>
      <c r="L30" s="23"/>
      <c r="N30" s="247"/>
      <c r="O30" s="247"/>
      <c r="P30" s="247"/>
    </row>
    <row r="31" spans="2:16" ht="20.149999999999999" customHeight="1" x14ac:dyDescent="0.45">
      <c r="B31" s="21"/>
      <c r="C31" s="45"/>
      <c r="D31" s="430"/>
      <c r="E31" s="430"/>
      <c r="F31" s="430"/>
      <c r="G31" s="99"/>
      <c r="H31" s="241"/>
      <c r="I31" s="432"/>
      <c r="J31" s="432"/>
      <c r="K31" s="22"/>
      <c r="L31" s="23"/>
      <c r="N31" s="247"/>
      <c r="O31" s="247"/>
      <c r="P31" s="247"/>
    </row>
    <row r="32" spans="2:16" ht="20.149999999999999" customHeight="1" x14ac:dyDescent="0.45">
      <c r="B32" s="90"/>
      <c r="C32" s="91"/>
      <c r="D32" s="485"/>
      <c r="E32" s="485"/>
      <c r="F32" s="485"/>
      <c r="G32" s="91"/>
      <c r="H32" s="123"/>
      <c r="I32" s="500"/>
      <c r="J32" s="500"/>
      <c r="K32" s="92"/>
      <c r="L32" s="93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>
        <f>SUM(L17:L33)</f>
        <v>150</v>
      </c>
      <c r="M34" s="95">
        <f>SUM(P17:P32)-L34*0.03</f>
        <v>35.081999999999994</v>
      </c>
      <c r="N34" s="405">
        <f>M34-L35</f>
        <v>23.970888888888883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>
        <f>L37</f>
        <v>11.111111111111111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>
        <f>L34/108*100</f>
        <v>138.88888888888889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0.08</v>
      </c>
      <c r="L37" s="44">
        <f>L36*0.08</f>
        <v>11.111111111111111</v>
      </c>
      <c r="M37" s="95"/>
    </row>
    <row r="38" spans="2:14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>
        <f>L34</f>
        <v>150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4" ht="20.149999999999999" customHeight="1" x14ac:dyDescent="0.45">
      <c r="B40" s="183" t="s">
        <v>749</v>
      </c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H45" s="60" t="s">
        <v>334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7" spans="2:14" ht="20.5" x14ac:dyDescent="0.45">
      <c r="F47" s="317"/>
    </row>
  </sheetData>
  <mergeCells count="45">
    <mergeCell ref="B1:L8"/>
    <mergeCell ref="I18:J18"/>
    <mergeCell ref="D18:F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5:L15"/>
    <mergeCell ref="K14:L14"/>
    <mergeCell ref="K13:L13"/>
    <mergeCell ref="B14:D14"/>
    <mergeCell ref="N12:Q12"/>
    <mergeCell ref="B15:D15"/>
    <mergeCell ref="D31:F31"/>
    <mergeCell ref="I31:J31"/>
    <mergeCell ref="D30:F30"/>
    <mergeCell ref="I30:J30"/>
    <mergeCell ref="D27:F27"/>
    <mergeCell ref="I27:J27"/>
    <mergeCell ref="D19:F19"/>
    <mergeCell ref="I19:J19"/>
    <mergeCell ref="I25:J25"/>
    <mergeCell ref="D25:F25"/>
    <mergeCell ref="D26:F26"/>
    <mergeCell ref="I26:J26"/>
    <mergeCell ref="D21:F21"/>
    <mergeCell ref="D22:F22"/>
    <mergeCell ref="J38:K38"/>
    <mergeCell ref="I32:J32"/>
    <mergeCell ref="D32:F32"/>
    <mergeCell ref="J34:K34"/>
    <mergeCell ref="J36:K36"/>
    <mergeCell ref="I24:J24"/>
    <mergeCell ref="D24:F24"/>
    <mergeCell ref="I21:J21"/>
    <mergeCell ref="I22:J22"/>
    <mergeCell ref="D20:F20"/>
    <mergeCell ref="I20:J20"/>
    <mergeCell ref="D23:F23"/>
    <mergeCell ref="I23:J23"/>
  </mergeCells>
  <conditionalFormatting sqref="C19">
    <cfRule type="duplicateValues" dxfId="133" priority="1"/>
  </conditionalFormatting>
  <conditionalFormatting sqref="C20">
    <cfRule type="duplicateValues" dxfId="132" priority="2"/>
  </conditionalFormatting>
  <conditionalFormatting sqref="C24:C26 C22">
    <cfRule type="duplicateValues" dxfId="131" priority="273"/>
  </conditionalFormatting>
  <conditionalFormatting sqref="C27:C28 C23">
    <cfRule type="duplicateValues" dxfId="130" priority="276"/>
  </conditionalFormatting>
  <conditionalFormatting sqref="C29">
    <cfRule type="duplicateValues" dxfId="129" priority="3"/>
  </conditionalFormatting>
  <conditionalFormatting sqref="C30">
    <cfRule type="duplicateValues" dxfId="128" priority="7"/>
  </conditionalFormatting>
  <conditionalFormatting sqref="C31">
    <cfRule type="duplicateValues" dxfId="127" priority="228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17809-63C8-4F2F-8744-E37BBE19842A}">
  <sheetPr codeName="Sheet24">
    <tabColor rgb="FFFFC000"/>
    <pageSetUpPr fitToPage="1"/>
  </sheetPr>
  <dimension ref="B1:DT41"/>
  <sheetViews>
    <sheetView topLeftCell="B9" zoomScaleNormal="100" workbookViewId="0">
      <selection activeCell="B1" sqref="B1:L4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7.726562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3.453125" style="60" customWidth="1"/>
    <col min="11" max="11" width="12.6328125" style="60" customWidth="1"/>
    <col min="12" max="16384" width="12.54296875" style="60"/>
  </cols>
  <sheetData>
    <row r="1" spans="2:18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8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8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8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8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8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8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8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606</v>
      </c>
      <c r="J10" s="17" t="s">
        <v>26</v>
      </c>
      <c r="K10" s="455">
        <v>202311110</v>
      </c>
      <c r="L10" s="456"/>
      <c r="N10" s="60" t="s">
        <v>816</v>
      </c>
      <c r="O10" s="60" t="s">
        <v>160</v>
      </c>
      <c r="R10" s="60">
        <v>1</v>
      </c>
    </row>
    <row r="11" spans="2:18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MR. NG                                                  Changi Village Hawker Centre,               2 Changi Village Road #01-14, Singapore 500002</v>
      </c>
      <c r="G11" s="445"/>
      <c r="H11" s="446"/>
      <c r="J11" s="18" t="s">
        <v>9</v>
      </c>
      <c r="K11" s="460">
        <v>45234</v>
      </c>
      <c r="L11" s="461"/>
      <c r="N11" s="60" t="s">
        <v>841</v>
      </c>
      <c r="O11" s="60" t="s">
        <v>617</v>
      </c>
      <c r="R11" s="60">
        <v>20</v>
      </c>
    </row>
    <row r="12" spans="2:18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N12" s="60" t="s">
        <v>1171</v>
      </c>
      <c r="O12" s="60" t="s">
        <v>635</v>
      </c>
      <c r="R12" s="60">
        <v>1</v>
      </c>
    </row>
    <row r="13" spans="2:18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  <c r="N13" s="60" t="s">
        <v>1743</v>
      </c>
    </row>
    <row r="14" spans="2:18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8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8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20.149999999999999" customHeight="1" x14ac:dyDescent="0.45">
      <c r="B18" s="21"/>
      <c r="C18" s="338" t="s">
        <v>816</v>
      </c>
      <c r="D18" s="503" t="str">
        <f>VLOOKUP(C18,'Sales Master'!B$3:D$430,2,0)</f>
        <v xml:space="preserve">Fresh Soursop 红毛榴莲 </v>
      </c>
      <c r="E18" s="503"/>
      <c r="F18" s="503"/>
      <c r="G18" s="45">
        <v>1</v>
      </c>
      <c r="H18" s="241" t="str">
        <f>VLOOKUP(C18,'Sales Master'!B$3:F$936,5,0)</f>
        <v>5 KGS/ Pkt包</v>
      </c>
      <c r="I18" s="432" t="str">
        <f>VLOOKUP(C18,'Sales Master'!B$3:E$936,4,0)</f>
        <v>DO!</v>
      </c>
      <c r="J18" s="432"/>
      <c r="K18" s="22">
        <f>VLOOKUP(C18,'Sales Master'!$B$3:$DT$3213,123,0)</f>
        <v>34</v>
      </c>
      <c r="L18" s="23">
        <f>K18*G18</f>
        <v>34</v>
      </c>
      <c r="N18" s="247">
        <f>VLOOKUP(C18,'Sales Master'!$B$3:$FA$3051,156,0)</f>
        <v>23.67</v>
      </c>
      <c r="O18" s="247">
        <f>K18-N18</f>
        <v>10.329999999999998</v>
      </c>
      <c r="P18" s="247">
        <f>O18*G18</f>
        <v>10.329999999999998</v>
      </c>
      <c r="R18" s="116">
        <v>6</v>
      </c>
      <c r="S18" s="94" t="s">
        <v>385</v>
      </c>
      <c r="T18" s="60" t="s">
        <v>59</v>
      </c>
      <c r="V18" s="60">
        <v>24</v>
      </c>
    </row>
    <row r="19" spans="2:22" ht="20.149999999999999" customHeight="1" x14ac:dyDescent="0.45">
      <c r="B19" s="21"/>
      <c r="C19" s="338" t="s">
        <v>841</v>
      </c>
      <c r="D19" s="504" t="str">
        <f>VLOOKUP(C19,'Sales Master'!B$3:D$430,2,0)</f>
        <v>Citrus Plum Concentrate Juice 柑桔梅子汁</v>
      </c>
      <c r="E19" s="504"/>
      <c r="F19" s="504"/>
      <c r="G19" s="45">
        <v>20</v>
      </c>
      <c r="H19" s="241" t="str">
        <f>VLOOKUP(C19,'Sales Master'!B$3:F$936,5,0)</f>
        <v>80 GM/ Pkt包</v>
      </c>
      <c r="I19" s="432" t="str">
        <f>VLOOKUP(C19,'Sales Master'!B$3:E$936,4,0)</f>
        <v>-</v>
      </c>
      <c r="J19" s="432"/>
      <c r="K19" s="22">
        <f>VLOOKUP(C19,'Sales Master'!$B$3:$DT$3213,123,0)</f>
        <v>0.8</v>
      </c>
      <c r="L19" s="23">
        <f>K19*G19</f>
        <v>16</v>
      </c>
      <c r="N19" s="247">
        <f>VLOOKUP(C19,'Sales Master'!$B$3:$FA$3051,156,0)</f>
        <v>0.4</v>
      </c>
      <c r="O19" s="247">
        <f>K19-N19</f>
        <v>0.4</v>
      </c>
      <c r="P19" s="247">
        <f>O19*G19</f>
        <v>8</v>
      </c>
      <c r="R19" s="94"/>
      <c r="S19" s="94"/>
    </row>
    <row r="20" spans="2:22" ht="20.149999999999999" customHeight="1" x14ac:dyDescent="0.45">
      <c r="B20" s="21"/>
      <c r="C20" s="338" t="s">
        <v>1026</v>
      </c>
      <c r="D20" s="503" t="str">
        <f>VLOOKUP(C20,'Sales Master'!B$3:D$430,2,0)</f>
        <v>Aloe Vera 芦荟 10mm</v>
      </c>
      <c r="E20" s="503"/>
      <c r="F20" s="503"/>
      <c r="G20" s="45">
        <v>1</v>
      </c>
      <c r="H20" s="241" t="str">
        <f>VLOOKUP(C20,'Sales Master'!B$3:F$936,5,0)</f>
        <v>1 Can X A10</v>
      </c>
      <c r="I20" s="432" t="str">
        <f>VLOOKUP(C20,'Sales Master'!B$3:E$936,4,0)</f>
        <v>Chefs</v>
      </c>
      <c r="J20" s="432"/>
      <c r="K20" s="22">
        <f>VLOOKUP(C20,'Sales Master'!$B$3:$DT$3213,123,0)</f>
        <v>10.7</v>
      </c>
      <c r="L20" s="23">
        <f>K20*G20</f>
        <v>10.7</v>
      </c>
      <c r="N20" s="247">
        <f>VLOOKUP(C20,'Sales Master'!$B$3:$FA$3051,156,0)</f>
        <v>7</v>
      </c>
      <c r="O20" s="247">
        <f>K20-N20</f>
        <v>3.6999999999999993</v>
      </c>
      <c r="P20" s="247">
        <f>O20*G20</f>
        <v>3.6999999999999993</v>
      </c>
      <c r="R20" s="60">
        <v>1</v>
      </c>
      <c r="S20" s="60" t="s">
        <v>399</v>
      </c>
      <c r="T20" s="60" t="s">
        <v>326</v>
      </c>
      <c r="V20" s="60">
        <v>24</v>
      </c>
    </row>
    <row r="21" spans="2:22" ht="20.149999999999999" customHeight="1" x14ac:dyDescent="0.45">
      <c r="B21" s="21"/>
      <c r="C21" s="338" t="s">
        <v>1108</v>
      </c>
      <c r="D21" s="503" t="str">
        <f>VLOOKUP(C21,'Sales Master'!B$3:D$430,2,0)</f>
        <v>Food Coloring - Liquid) 颜色水</v>
      </c>
      <c r="E21" s="503"/>
      <c r="F21" s="503"/>
      <c r="G21" s="45">
        <v>2</v>
      </c>
      <c r="H21" s="241" t="str">
        <f>VLOOKUP(C21,'Sales Master'!B$3:F$936,5,0)</f>
        <v>500 ML/ Btl支</v>
      </c>
      <c r="I21" s="432" t="str">
        <f>VLOOKUP(C21,'Sales Master'!B$3:E$936,4,0)</f>
        <v>Black/黑</v>
      </c>
      <c r="J21" s="432"/>
      <c r="K21" s="22">
        <f>VLOOKUP(C21,'Sales Master'!$B$3:$DT$3400,123,0)</f>
        <v>5.5</v>
      </c>
      <c r="L21" s="23">
        <f>K21*G21</f>
        <v>11</v>
      </c>
      <c r="N21" s="247">
        <f>VLOOKUP(C21,'Sales Master'!$B$3:$FA$3051,156,0)</f>
        <v>4.32</v>
      </c>
      <c r="O21" s="247">
        <f>K21-N21</f>
        <v>1.1799999999999997</v>
      </c>
      <c r="P21" s="247">
        <f>O21*G21</f>
        <v>2.3599999999999994</v>
      </c>
    </row>
    <row r="22" spans="2:22" ht="20.149999999999999" customHeight="1" x14ac:dyDescent="0.45">
      <c r="B22" s="21"/>
      <c r="C22" s="45"/>
      <c r="D22" s="69"/>
      <c r="E22" s="69"/>
      <c r="F22" s="69"/>
      <c r="G22" s="45"/>
      <c r="H22" s="65"/>
      <c r="I22" s="65"/>
      <c r="J22" s="65"/>
      <c r="K22" s="96"/>
      <c r="L22" s="131"/>
    </row>
    <row r="23" spans="2:22" ht="20.149999999999999" customHeight="1" x14ac:dyDescent="0.45">
      <c r="B23" s="21"/>
      <c r="C23" s="140"/>
      <c r="G23" s="45"/>
      <c r="H23" s="65"/>
      <c r="I23" s="431"/>
      <c r="J23" s="431"/>
      <c r="K23" s="96"/>
      <c r="L23" s="131"/>
      <c r="R23" s="60">
        <v>1</v>
      </c>
    </row>
    <row r="24" spans="2:22" ht="20.149999999999999" customHeight="1" x14ac:dyDescent="0.45">
      <c r="B24" s="70"/>
      <c r="C24" s="305" t="s">
        <v>1742</v>
      </c>
      <c r="G24" s="233"/>
      <c r="H24" s="65"/>
      <c r="I24" s="65"/>
      <c r="J24" s="65"/>
      <c r="K24" s="22"/>
      <c r="L24" s="131"/>
    </row>
    <row r="25" spans="2:22" ht="20.149999999999999" customHeight="1" x14ac:dyDescent="0.45">
      <c r="B25" s="70"/>
      <c r="C25" s="338" t="s">
        <v>816</v>
      </c>
      <c r="D25" s="430" t="str">
        <f>VLOOKUP(C25,'Sales Master'!B$3:D$644,2,0)</f>
        <v xml:space="preserve">Fresh Soursop 红毛榴莲 </v>
      </c>
      <c r="E25" s="430"/>
      <c r="F25" s="430"/>
      <c r="G25" s="233">
        <v>1</v>
      </c>
      <c r="H25" s="241" t="str">
        <f>VLOOKUP(C25,'Sales Master'!B$3:F$936,5,0)</f>
        <v>5 KGS/ Pkt包</v>
      </c>
      <c r="I25" s="432" t="str">
        <f>VLOOKUP(C25,'Sales Master'!B$3:E$936,4,0)</f>
        <v>DO!</v>
      </c>
      <c r="J25" s="432"/>
      <c r="K25" s="22">
        <v>34</v>
      </c>
      <c r="L25" s="98"/>
    </row>
    <row r="26" spans="2:22" ht="20.149999999999999" customHeight="1" x14ac:dyDescent="0.45">
      <c r="B26" s="21"/>
      <c r="C26" s="45"/>
      <c r="G26" s="99"/>
      <c r="H26" s="65"/>
      <c r="I26" s="206"/>
      <c r="J26" s="206"/>
      <c r="K26" s="96"/>
      <c r="L26" s="23"/>
    </row>
    <row r="27" spans="2:22" ht="20.149999999999999" customHeight="1" thickBot="1" x14ac:dyDescent="0.5">
      <c r="B27" s="24"/>
      <c r="C27" s="25"/>
      <c r="D27" s="473"/>
      <c r="E27" s="473"/>
      <c r="F27" s="473"/>
      <c r="G27" s="25"/>
      <c r="H27" s="66"/>
      <c r="I27" s="66"/>
      <c r="J27" s="66"/>
      <c r="K27" s="26"/>
      <c r="L27" s="27"/>
    </row>
    <row r="28" spans="2:22" ht="20.149999999999999" customHeight="1" thickBot="1" x14ac:dyDescent="0.5">
      <c r="B28" s="28"/>
      <c r="L28" s="29"/>
    </row>
    <row r="29" spans="2:22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474" t="s">
        <v>13</v>
      </c>
      <c r="K29" s="475"/>
      <c r="L29" s="30">
        <f>SUM(L16:L28)</f>
        <v>71.7</v>
      </c>
      <c r="M29" s="95">
        <f>SUM(P18:P20)</f>
        <v>22.029999999999998</v>
      </c>
      <c r="N29" s="405">
        <f>M29-L30</f>
        <v>16.718888888888888</v>
      </c>
    </row>
    <row r="30" spans="2:22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110" t="s">
        <v>553</v>
      </c>
      <c r="K30" s="113">
        <v>6.54E-2</v>
      </c>
      <c r="L30" s="32">
        <f>L32</f>
        <v>5.3111111111111109</v>
      </c>
    </row>
    <row r="31" spans="2:22" ht="20.149999999999999" customHeight="1" x14ac:dyDescent="0.45">
      <c r="B31" s="11" t="s">
        <v>18</v>
      </c>
      <c r="C31" s="10"/>
      <c r="D31" s="10"/>
      <c r="E31" s="10"/>
      <c r="F31" s="10"/>
      <c r="G31" s="10"/>
      <c r="H31" s="10"/>
      <c r="I31" s="10"/>
      <c r="J31" s="476" t="s">
        <v>555</v>
      </c>
      <c r="K31" s="477"/>
      <c r="L31" s="114">
        <f>L29/108*100</f>
        <v>66.388888888888886</v>
      </c>
    </row>
    <row r="32" spans="2:22" ht="20.149999999999999" customHeight="1" x14ac:dyDescent="0.45">
      <c r="B32" s="11" t="s">
        <v>22</v>
      </c>
      <c r="C32" s="10"/>
      <c r="D32" s="10"/>
      <c r="E32" s="10"/>
      <c r="F32" s="10"/>
      <c r="G32" s="10"/>
      <c r="H32" s="10"/>
      <c r="I32" s="10"/>
      <c r="J32" s="111" t="s">
        <v>554</v>
      </c>
      <c r="K32" s="112">
        <v>0.08</v>
      </c>
      <c r="L32" s="44">
        <f>L31*K32</f>
        <v>5.3111111111111109</v>
      </c>
    </row>
    <row r="33" spans="2:124" ht="20.149999999999999" customHeight="1" thickBot="1" x14ac:dyDescent="0.5">
      <c r="B33" s="11" t="s">
        <v>748</v>
      </c>
      <c r="C33" s="10"/>
      <c r="D33" s="10"/>
      <c r="E33" s="10"/>
      <c r="F33" s="10"/>
      <c r="G33" s="10"/>
      <c r="H33" s="10"/>
      <c r="I33" s="10"/>
      <c r="J33" s="478" t="s">
        <v>21</v>
      </c>
      <c r="K33" s="479"/>
      <c r="L33" s="33">
        <f>L31+L32</f>
        <v>71.7</v>
      </c>
    </row>
    <row r="34" spans="2:124" ht="20.149999999999999" customHeight="1" x14ac:dyDescent="0.45">
      <c r="B34" s="11" t="s">
        <v>23</v>
      </c>
      <c r="C34" s="10"/>
      <c r="D34" s="10"/>
      <c r="E34" s="10"/>
      <c r="F34" s="10"/>
      <c r="G34" s="10"/>
      <c r="H34" s="10"/>
      <c r="I34" s="10"/>
      <c r="J34" s="243"/>
      <c r="L34" s="244"/>
    </row>
    <row r="35" spans="2:124" ht="20.149999999999999" customHeight="1" x14ac:dyDescent="0.45">
      <c r="B35" s="183" t="s">
        <v>749</v>
      </c>
      <c r="L35" s="244"/>
      <c r="DT35" s="60">
        <v>0.8</v>
      </c>
    </row>
    <row r="36" spans="2:124" ht="20.149999999999999" customHeight="1" x14ac:dyDescent="0.45">
      <c r="B36" s="28"/>
      <c r="L36" s="244"/>
    </row>
    <row r="37" spans="2:124" ht="20.149999999999999" customHeight="1" x14ac:dyDescent="0.45">
      <c r="B37" s="28"/>
      <c r="J37" s="440"/>
      <c r="K37" s="440"/>
      <c r="L37" s="267"/>
    </row>
    <row r="38" spans="2:124" ht="20.149999999999999" customHeight="1" x14ac:dyDescent="0.45">
      <c r="B38" s="28"/>
      <c r="L38" s="29"/>
    </row>
    <row r="39" spans="2:124" ht="20.149999999999999" customHeight="1" x14ac:dyDescent="0.45">
      <c r="B39" s="34"/>
      <c r="C39" s="35"/>
      <c r="D39" s="35"/>
      <c r="J39" s="35"/>
      <c r="K39" s="35"/>
      <c r="L39" s="36"/>
    </row>
    <row r="40" spans="2:124" ht="20.149999999999999" customHeight="1" x14ac:dyDescent="0.45">
      <c r="B40" s="28" t="s">
        <v>24</v>
      </c>
      <c r="J40" s="60" t="s">
        <v>25</v>
      </c>
      <c r="L40" s="29"/>
    </row>
    <row r="41" spans="2:124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1">
    <mergeCell ref="J37:K37"/>
    <mergeCell ref="J33:K33"/>
    <mergeCell ref="D27:F27"/>
    <mergeCell ref="J29:K29"/>
    <mergeCell ref="J31:K31"/>
    <mergeCell ref="I20:J20"/>
    <mergeCell ref="I23:J23"/>
    <mergeCell ref="I17:J17"/>
    <mergeCell ref="D19:F19"/>
    <mergeCell ref="I19:J19"/>
    <mergeCell ref="D18:F18"/>
    <mergeCell ref="I18:J18"/>
    <mergeCell ref="D17:F17"/>
    <mergeCell ref="D21:F21"/>
    <mergeCell ref="I21:J21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</mergeCells>
  <conditionalFormatting sqref="C23">
    <cfRule type="duplicateValues" dxfId="126" priority="2"/>
  </conditionalFormatting>
  <conditionalFormatting sqref="C24">
    <cfRule type="duplicateValues" dxfId="125" priority="1"/>
  </conditionalFormatting>
  <pageMargins left="0.70866141732283472" right="0.31496062992125984" top="0.23622047244094491" bottom="0.23622047244094491" header="0.31496062992125984" footer="0.31496062992125984"/>
  <pageSetup paperSize="9" scale="75" fitToHeight="0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7082B5-022B-4FD2-B53B-47259C73A40D}">
  <sheetPr codeName="Sheet81">
    <tabColor rgb="FFFFC000"/>
    <pageSetUpPr fitToPage="1"/>
  </sheetPr>
  <dimension ref="B1:W55"/>
  <sheetViews>
    <sheetView topLeftCell="A10" zoomScaleNormal="100" workbookViewId="0">
      <selection activeCell="D19" sqref="D19:F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3.81640625" style="60" customWidth="1"/>
    <col min="13" max="16384" width="12.54296875" style="60"/>
  </cols>
  <sheetData>
    <row r="1" spans="2:15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5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5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5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5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5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5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5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419</v>
      </c>
      <c r="J10" s="17" t="s">
        <v>26</v>
      </c>
      <c r="K10" s="455">
        <v>202310595</v>
      </c>
      <c r="L10" s="456"/>
    </row>
    <row r="11" spans="2:15" ht="20.149999999999999" customHeight="1" x14ac:dyDescent="0.45">
      <c r="B11" s="480" t="s">
        <v>362</v>
      </c>
      <c r="C11" s="481"/>
      <c r="D11" s="482"/>
      <c r="E11" s="61"/>
      <c r="F11" s="444" t="str">
        <f>VLOOKUP(H10,'Delivery Location'!A$4:N$423,2,0)</f>
        <v>美林 A1                                                    Tanglin Halt Market                        48A Tanglin Halt Road, #01-17 Singapore 142048</v>
      </c>
      <c r="G11" s="445"/>
      <c r="H11" s="446"/>
      <c r="J11" s="18" t="s">
        <v>9</v>
      </c>
      <c r="K11" s="460">
        <v>45224</v>
      </c>
      <c r="L11" s="461"/>
    </row>
    <row r="12" spans="2:15" ht="20.149999999999999" customHeight="1" x14ac:dyDescent="0.45">
      <c r="B12" s="462" t="s">
        <v>1340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N12" s="60" t="s">
        <v>1219</v>
      </c>
    </row>
    <row r="13" spans="2:15" ht="20.149999999999999" customHeight="1" x14ac:dyDescent="0.45">
      <c r="B13" s="462" t="s">
        <v>1339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  <c r="N13" s="60" t="s">
        <v>1112</v>
      </c>
      <c r="O13" s="60" t="s">
        <v>1203</v>
      </c>
    </row>
    <row r="14" spans="2:15" ht="20.149999999999999" customHeight="1" x14ac:dyDescent="0.45">
      <c r="B14" s="462" t="s">
        <v>415</v>
      </c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  <c r="N14" s="60" t="s">
        <v>1001</v>
      </c>
    </row>
    <row r="15" spans="2:15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5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3" ht="20.149999999999999" customHeight="1" x14ac:dyDescent="0.45">
      <c r="B18" s="149"/>
      <c r="C18" s="338" t="s">
        <v>1160</v>
      </c>
      <c r="D18" s="505" t="str">
        <f>VLOOKUP(C18,'Sales Master'!B$3:D$644,2,0)</f>
        <v>Citrus Plum Concentrate Juice 柑桔梅子汁</v>
      </c>
      <c r="E18" s="505"/>
      <c r="F18" s="505"/>
      <c r="G18" s="99">
        <v>20</v>
      </c>
      <c r="H18" s="241" t="str">
        <f>VLOOKUP(C18,'Sales Master'!B$3:F$936,5,0)</f>
        <v>1 KG/ Pkt包</v>
      </c>
      <c r="I18" s="491" t="str">
        <f>VLOOKUP(C18,'Sales Master'!B$3:E$936,4,0)</f>
        <v>-</v>
      </c>
      <c r="J18" s="491"/>
      <c r="K18" s="22">
        <f>VLOOKUP(C18,'Sales Master'!B$3:CI$527,86,0)</f>
        <v>8</v>
      </c>
      <c r="L18" s="71">
        <f t="shared" ref="L18" si="0">K18*G18</f>
        <v>160</v>
      </c>
      <c r="N18" s="247">
        <f>VLOOKUP(C18,'Sales Master'!$B$3:$FA$3051,156,0)</f>
        <v>4</v>
      </c>
      <c r="O18" s="247">
        <f t="shared" ref="O18" si="1">K18-N18</f>
        <v>4</v>
      </c>
      <c r="P18" s="247">
        <f t="shared" ref="P18" si="2">O18*G18</f>
        <v>80</v>
      </c>
    </row>
    <row r="19" spans="2:23" ht="20.149999999999999" customHeight="1" x14ac:dyDescent="0.45">
      <c r="B19" s="149"/>
      <c r="C19" s="338"/>
      <c r="D19" s="494"/>
      <c r="E19" s="494"/>
      <c r="F19" s="494"/>
      <c r="G19" s="99"/>
      <c r="H19" s="241"/>
      <c r="I19" s="432"/>
      <c r="J19" s="432"/>
      <c r="K19" s="22"/>
      <c r="L19" s="71"/>
      <c r="N19" s="247"/>
      <c r="O19" s="247"/>
      <c r="P19" s="247"/>
      <c r="V19" s="60">
        <v>15</v>
      </c>
      <c r="W19" s="60">
        <v>15</v>
      </c>
    </row>
    <row r="20" spans="2:23" ht="20.149999999999999" customHeight="1" x14ac:dyDescent="0.45">
      <c r="B20" s="149"/>
      <c r="C20" s="338"/>
      <c r="D20" s="494"/>
      <c r="E20" s="494"/>
      <c r="F20" s="494"/>
      <c r="G20" s="99"/>
      <c r="H20" s="241"/>
      <c r="I20" s="432"/>
      <c r="J20" s="432"/>
      <c r="K20" s="22"/>
      <c r="L20" s="71"/>
      <c r="N20" s="247"/>
      <c r="O20" s="247"/>
      <c r="P20" s="247"/>
    </row>
    <row r="21" spans="2:23" ht="20.149999999999999" customHeight="1" x14ac:dyDescent="0.45">
      <c r="B21" s="149"/>
      <c r="C21" s="338"/>
      <c r="D21" s="430"/>
      <c r="E21" s="430"/>
      <c r="F21" s="430"/>
      <c r="G21" s="99"/>
      <c r="H21" s="241"/>
      <c r="I21" s="432"/>
      <c r="J21" s="432"/>
      <c r="K21" s="22"/>
      <c r="L21" s="71"/>
      <c r="N21" s="247"/>
      <c r="O21" s="247"/>
      <c r="P21" s="247"/>
    </row>
    <row r="22" spans="2:23" ht="20.149999999999999" customHeight="1" x14ac:dyDescent="0.45">
      <c r="B22" s="149"/>
      <c r="C22" s="338"/>
      <c r="D22" s="430"/>
      <c r="E22" s="430"/>
      <c r="F22" s="430"/>
      <c r="G22" s="99"/>
      <c r="H22" s="241"/>
      <c r="I22" s="432"/>
      <c r="J22" s="432"/>
      <c r="K22" s="22"/>
      <c r="L22" s="71"/>
      <c r="N22" s="247"/>
      <c r="O22" s="247"/>
      <c r="P22" s="247"/>
    </row>
    <row r="23" spans="2:23" ht="20.149999999999999" customHeight="1" x14ac:dyDescent="0.45">
      <c r="B23" s="149"/>
      <c r="C23" s="338"/>
      <c r="D23" s="430"/>
      <c r="E23" s="430"/>
      <c r="F23" s="430"/>
      <c r="G23" s="99"/>
      <c r="H23" s="241"/>
      <c r="I23" s="432"/>
      <c r="J23" s="432"/>
      <c r="K23" s="22"/>
      <c r="L23" s="71"/>
      <c r="N23" s="247"/>
      <c r="O23" s="247"/>
      <c r="P23" s="247"/>
    </row>
    <row r="24" spans="2:23" ht="20.149999999999999" customHeight="1" x14ac:dyDescent="0.45">
      <c r="B24" s="149"/>
      <c r="C24" s="45"/>
      <c r="D24" s="430"/>
      <c r="E24" s="430"/>
      <c r="F24" s="430"/>
      <c r="G24" s="99"/>
      <c r="H24" s="241"/>
      <c r="I24" s="432"/>
      <c r="J24" s="432"/>
      <c r="K24" s="22"/>
      <c r="L24" s="71"/>
      <c r="N24" s="247"/>
      <c r="O24" s="247"/>
      <c r="P24" s="247"/>
    </row>
    <row r="25" spans="2:23" ht="20.149999999999999" customHeight="1" x14ac:dyDescent="0.45">
      <c r="B25" s="70"/>
      <c r="C25" s="45"/>
      <c r="D25" s="430"/>
      <c r="E25" s="430"/>
      <c r="F25" s="430"/>
      <c r="G25" s="99"/>
      <c r="H25" s="65"/>
      <c r="I25" s="431"/>
      <c r="J25" s="431"/>
      <c r="K25" s="22"/>
      <c r="L25" s="71"/>
      <c r="N25" s="247"/>
      <c r="O25" s="247"/>
      <c r="P25" s="247"/>
    </row>
    <row r="26" spans="2:23" ht="20.149999999999999" customHeight="1" x14ac:dyDescent="0.45">
      <c r="B26" s="70"/>
      <c r="C26" s="45"/>
      <c r="D26" s="430"/>
      <c r="E26" s="430"/>
      <c r="F26" s="430"/>
      <c r="G26" s="99"/>
      <c r="H26" s="65"/>
      <c r="I26" s="431"/>
      <c r="J26" s="431"/>
      <c r="K26" s="22"/>
      <c r="L26" s="71"/>
      <c r="N26" s="247"/>
      <c r="O26" s="247"/>
      <c r="P26" s="247"/>
    </row>
    <row r="27" spans="2:23" ht="20.149999999999999" customHeight="1" x14ac:dyDescent="0.45">
      <c r="B27" s="70"/>
      <c r="C27" s="12" t="s">
        <v>1236</v>
      </c>
      <c r="D27" s="12"/>
      <c r="E27" s="12"/>
      <c r="F27" s="12"/>
      <c r="G27" s="12"/>
      <c r="H27" s="65"/>
      <c r="I27" s="65"/>
      <c r="J27" s="65"/>
      <c r="K27" s="96"/>
      <c r="L27" s="71"/>
    </row>
    <row r="28" spans="2:23" ht="20.149999999999999" customHeight="1" x14ac:dyDescent="0.45">
      <c r="B28" s="70"/>
      <c r="C28" s="69" t="s">
        <v>1320</v>
      </c>
      <c r="G28" s="99"/>
      <c r="H28" s="65"/>
      <c r="I28" s="206"/>
      <c r="J28" s="206"/>
      <c r="K28" s="96"/>
      <c r="L28" s="71"/>
    </row>
    <row r="29" spans="2:23" ht="20.149999999999999" customHeight="1" x14ac:dyDescent="0.45">
      <c r="B29" s="70"/>
      <c r="C29" s="69" t="s">
        <v>1317</v>
      </c>
      <c r="G29" s="99"/>
      <c r="H29" s="65"/>
      <c r="I29" s="206"/>
      <c r="J29" s="206"/>
      <c r="K29" s="96"/>
      <c r="L29" s="71"/>
    </row>
    <row r="30" spans="2:23" ht="20.149999999999999" customHeight="1" x14ac:dyDescent="0.45">
      <c r="B30" s="70"/>
      <c r="D30" s="69"/>
      <c r="E30" s="69"/>
      <c r="F30" s="69"/>
      <c r="G30" s="99"/>
      <c r="H30" s="65"/>
      <c r="I30" s="65"/>
      <c r="J30" s="65"/>
      <c r="K30" s="22"/>
      <c r="L30" s="71"/>
    </row>
    <row r="31" spans="2:23" ht="20.149999999999999" customHeight="1" thickBot="1" x14ac:dyDescent="0.5">
      <c r="B31" s="24"/>
      <c r="C31" s="25"/>
      <c r="D31" s="473"/>
      <c r="E31" s="473"/>
      <c r="F31" s="473"/>
      <c r="G31" s="25"/>
      <c r="H31" s="66"/>
      <c r="I31" s="66"/>
      <c r="J31" s="66"/>
      <c r="K31" s="26"/>
      <c r="L31" s="27"/>
    </row>
    <row r="32" spans="2:23" ht="20.149999999999999" customHeight="1" thickBot="1" x14ac:dyDescent="0.5">
      <c r="B32" s="28"/>
      <c r="J32" s="208"/>
      <c r="K32" s="208"/>
      <c r="L32" s="215"/>
    </row>
    <row r="33" spans="2:18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216">
        <f>SUM(L18:L31)</f>
        <v>160</v>
      </c>
      <c r="M33" s="95">
        <f>SUM(P13:P29)-(L33*0.02)</f>
        <v>76.8</v>
      </c>
      <c r="N33" s="248">
        <f>M33/L33</f>
        <v>0.48</v>
      </c>
    </row>
    <row r="34" spans="2:18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217">
        <f>L36</f>
        <v>11.851851851851853</v>
      </c>
    </row>
    <row r="35" spans="2:18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218">
        <f>L33/108*100</f>
        <v>148.14814814814815</v>
      </c>
    </row>
    <row r="36" spans="2:18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0.08</v>
      </c>
      <c r="L36" s="219">
        <f>L35*K36</f>
        <v>11.851851851851853</v>
      </c>
      <c r="N36" s="45"/>
      <c r="O36" s="430"/>
      <c r="P36" s="430"/>
      <c r="Q36" s="430"/>
      <c r="R36" s="99"/>
    </row>
    <row r="37" spans="2:18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92" t="s">
        <v>21</v>
      </c>
      <c r="K37" s="493"/>
      <c r="L37" s="220">
        <f>L35+L36</f>
        <v>160</v>
      </c>
    </row>
    <row r="38" spans="2:18" ht="20.149999999999999" customHeight="1" thickTop="1" x14ac:dyDescent="0.45">
      <c r="B38" s="11" t="s">
        <v>23</v>
      </c>
      <c r="C38" s="10"/>
      <c r="D38" s="10"/>
      <c r="E38" s="10"/>
      <c r="F38" s="10"/>
      <c r="G38" s="10"/>
      <c r="J38" s="243"/>
      <c r="L38" s="238"/>
    </row>
    <row r="39" spans="2:18" ht="20.149999999999999" customHeight="1" x14ac:dyDescent="0.45">
      <c r="B39" s="183" t="s">
        <v>749</v>
      </c>
      <c r="J39" s="243"/>
      <c r="L39" s="238"/>
    </row>
    <row r="40" spans="2:18" ht="20.149999999999999" customHeight="1" x14ac:dyDescent="0.45">
      <c r="B40" s="28"/>
      <c r="J40" s="440"/>
      <c r="K40" s="440"/>
      <c r="L40" s="268"/>
    </row>
    <row r="41" spans="2:18" ht="20.149999999999999" customHeight="1" x14ac:dyDescent="0.45">
      <c r="B41" s="28"/>
      <c r="L41" s="221"/>
    </row>
    <row r="42" spans="2:18" ht="20.149999999999999" customHeight="1" x14ac:dyDescent="0.45">
      <c r="B42" s="28"/>
      <c r="L42" s="221"/>
    </row>
    <row r="43" spans="2:18" ht="20.149999999999999" customHeight="1" x14ac:dyDescent="0.45">
      <c r="B43" s="34"/>
      <c r="C43" s="35"/>
      <c r="D43" s="35"/>
      <c r="J43" s="35"/>
      <c r="K43" s="35"/>
      <c r="L43" s="222"/>
    </row>
    <row r="44" spans="2:18" ht="20.149999999999999" customHeight="1" x14ac:dyDescent="0.45">
      <c r="B44" s="28" t="s">
        <v>24</v>
      </c>
      <c r="J44" s="60" t="s">
        <v>25</v>
      </c>
      <c r="L44" s="29"/>
    </row>
    <row r="45" spans="2:18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  <row r="47" spans="2:18" x14ac:dyDescent="0.45">
      <c r="G47" s="99"/>
    </row>
    <row r="48" spans="2:18" x14ac:dyDescent="0.45">
      <c r="G48" s="99"/>
    </row>
    <row r="49" spans="7:7" x14ac:dyDescent="0.45">
      <c r="G49" s="99"/>
    </row>
    <row r="50" spans="7:7" x14ac:dyDescent="0.45">
      <c r="G50" s="99"/>
    </row>
    <row r="51" spans="7:7" x14ac:dyDescent="0.45">
      <c r="G51" s="99"/>
    </row>
    <row r="52" spans="7:7" x14ac:dyDescent="0.45">
      <c r="G52" s="99"/>
    </row>
    <row r="53" spans="7:7" x14ac:dyDescent="0.45">
      <c r="G53" s="99"/>
    </row>
    <row r="54" spans="7:7" x14ac:dyDescent="0.45">
      <c r="G54" s="99"/>
    </row>
    <row r="55" spans="7:7" x14ac:dyDescent="0.45">
      <c r="G55" s="99"/>
    </row>
  </sheetData>
  <mergeCells count="39">
    <mergeCell ref="I25:J25"/>
    <mergeCell ref="D31:F31"/>
    <mergeCell ref="J33:K33"/>
    <mergeCell ref="J35:K35"/>
    <mergeCell ref="D25:F25"/>
    <mergeCell ref="O36:Q36"/>
    <mergeCell ref="J40:K40"/>
    <mergeCell ref="J37:K37"/>
    <mergeCell ref="D26:F26"/>
    <mergeCell ref="I26:J26"/>
    <mergeCell ref="I19:J19"/>
    <mergeCell ref="D17:F17"/>
    <mergeCell ref="D19:F19"/>
    <mergeCell ref="D18:F18"/>
    <mergeCell ref="I24:J24"/>
    <mergeCell ref="D21:F21"/>
    <mergeCell ref="I21:J21"/>
    <mergeCell ref="D20:F20"/>
    <mergeCell ref="I20:J20"/>
    <mergeCell ref="D22:F22"/>
    <mergeCell ref="I22:J22"/>
    <mergeCell ref="D23:F23"/>
    <mergeCell ref="I23:J23"/>
    <mergeCell ref="I17:J17"/>
    <mergeCell ref="I18:J18"/>
    <mergeCell ref="D24:F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24">
    <cfRule type="duplicateValues" dxfId="124" priority="1"/>
  </conditionalFormatting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2" filterMode="1">
    <pageSetUpPr fitToPage="1"/>
  </sheetPr>
  <dimension ref="A1:DC337"/>
  <sheetViews>
    <sheetView zoomScale="99" zoomScaleNormal="100" workbookViewId="0">
      <selection activeCell="A43" sqref="A43"/>
    </sheetView>
  </sheetViews>
  <sheetFormatPr defaultRowHeight="14.5" x14ac:dyDescent="0.35"/>
  <cols>
    <col min="1" max="1" width="8.54296875" customWidth="1"/>
    <col min="12" max="12" width="9.6328125" bestFit="1" customWidth="1"/>
    <col min="14" max="14" width="29" customWidth="1"/>
    <col min="15" max="15" width="15.453125" customWidth="1"/>
  </cols>
  <sheetData>
    <row r="1" spans="1:18" x14ac:dyDescent="0.35">
      <c r="A1" t="s">
        <v>67</v>
      </c>
    </row>
    <row r="3" spans="1:18" ht="29" x14ac:dyDescent="0.35">
      <c r="A3" s="106" t="s">
        <v>68</v>
      </c>
      <c r="B3" s="424" t="s">
        <v>67</v>
      </c>
      <c r="C3" s="424"/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106" t="s">
        <v>89</v>
      </c>
      <c r="P3" s="107" t="s">
        <v>218</v>
      </c>
    </row>
    <row r="4" spans="1:18" ht="25" hidden="1" customHeight="1" x14ac:dyDescent="0.35">
      <c r="A4" s="104" t="s">
        <v>417</v>
      </c>
      <c r="B4" s="422"/>
      <c r="C4" s="422"/>
      <c r="D4" s="422"/>
      <c r="E4" s="422"/>
      <c r="F4" s="422"/>
      <c r="G4" s="422"/>
      <c r="H4" s="422"/>
      <c r="I4" s="422"/>
      <c r="J4" s="422"/>
      <c r="K4" s="422"/>
      <c r="L4" s="422"/>
      <c r="M4" s="422"/>
      <c r="N4" s="422"/>
      <c r="O4" s="1"/>
      <c r="P4" s="40"/>
    </row>
    <row r="5" spans="1:18" ht="25" hidden="1" customHeight="1" x14ac:dyDescent="0.35">
      <c r="A5" s="104" t="s">
        <v>418</v>
      </c>
      <c r="B5" s="421" t="s">
        <v>1387</v>
      </c>
      <c r="C5" s="421"/>
      <c r="D5" s="421"/>
      <c r="E5" s="421"/>
      <c r="F5" s="421"/>
      <c r="G5" s="421"/>
      <c r="H5" s="421"/>
      <c r="I5" s="421"/>
      <c r="J5" s="421"/>
      <c r="K5" s="421"/>
      <c r="L5" s="421"/>
      <c r="M5" s="421"/>
      <c r="N5" s="421"/>
      <c r="O5" s="4"/>
      <c r="P5" s="40" t="s">
        <v>221</v>
      </c>
    </row>
    <row r="6" spans="1:18" ht="25" hidden="1" customHeight="1" x14ac:dyDescent="0.35">
      <c r="A6" s="104" t="s">
        <v>419</v>
      </c>
      <c r="B6" s="422" t="s">
        <v>1713</v>
      </c>
      <c r="C6" s="422"/>
      <c r="D6" s="422"/>
      <c r="E6" s="422"/>
      <c r="F6" s="422"/>
      <c r="G6" s="422"/>
      <c r="H6" s="422"/>
      <c r="I6" s="422"/>
      <c r="J6" s="422"/>
      <c r="K6" s="422"/>
      <c r="L6" s="422"/>
      <c r="M6" s="422"/>
      <c r="N6" s="422"/>
      <c r="O6" s="1"/>
      <c r="P6" s="40" t="s">
        <v>220</v>
      </c>
    </row>
    <row r="7" spans="1:18" ht="20.149999999999999" hidden="1" customHeight="1" x14ac:dyDescent="0.35">
      <c r="A7" s="104" t="s">
        <v>420</v>
      </c>
      <c r="B7" s="422" t="s">
        <v>1712</v>
      </c>
      <c r="C7" s="422"/>
      <c r="D7" s="422"/>
      <c r="E7" s="422"/>
      <c r="F7" s="422"/>
      <c r="G7" s="422"/>
      <c r="H7" s="422"/>
      <c r="I7" s="422"/>
      <c r="J7" s="422"/>
      <c r="K7" s="422"/>
      <c r="L7" s="422"/>
      <c r="M7" s="422"/>
      <c r="N7" s="422"/>
      <c r="O7" s="1"/>
      <c r="P7" s="40" t="s">
        <v>219</v>
      </c>
    </row>
    <row r="8" spans="1:18" ht="25" hidden="1" customHeight="1" x14ac:dyDescent="0.35">
      <c r="A8" s="104" t="s">
        <v>421</v>
      </c>
      <c r="B8" s="421" t="s">
        <v>1443</v>
      </c>
      <c r="C8" s="421"/>
      <c r="D8" s="421"/>
      <c r="E8" s="421"/>
      <c r="F8" s="421"/>
      <c r="G8" s="421"/>
      <c r="H8" s="421"/>
      <c r="I8" s="421"/>
      <c r="J8" s="421"/>
      <c r="K8" s="421"/>
      <c r="L8" s="421"/>
      <c r="M8" s="421"/>
      <c r="N8" s="421"/>
      <c r="O8" s="4" t="s">
        <v>223</v>
      </c>
      <c r="P8" s="40" t="s">
        <v>222</v>
      </c>
    </row>
    <row r="9" spans="1:18" ht="25" hidden="1" customHeight="1" x14ac:dyDescent="0.35">
      <c r="A9" s="104" t="s">
        <v>422</v>
      </c>
      <c r="B9" s="422" t="s">
        <v>1711</v>
      </c>
      <c r="C9" s="422"/>
      <c r="D9" s="422"/>
      <c r="E9" s="422"/>
      <c r="F9" s="422"/>
      <c r="G9" s="422"/>
      <c r="H9" s="422"/>
      <c r="I9" s="422"/>
      <c r="J9" s="422"/>
      <c r="K9" s="422"/>
      <c r="L9" s="422"/>
      <c r="M9" s="422"/>
      <c r="N9" s="422"/>
      <c r="O9" s="1"/>
      <c r="P9" s="40" t="s">
        <v>33</v>
      </c>
    </row>
    <row r="10" spans="1:18" ht="25" hidden="1" customHeight="1" x14ac:dyDescent="0.35">
      <c r="A10" s="104" t="s">
        <v>423</v>
      </c>
      <c r="B10" s="422" t="s">
        <v>1722</v>
      </c>
      <c r="C10" s="422"/>
      <c r="D10" s="422"/>
      <c r="E10" s="422"/>
      <c r="F10" s="422"/>
      <c r="G10" s="422"/>
      <c r="H10" s="422"/>
      <c r="I10" s="422"/>
      <c r="J10" s="422"/>
      <c r="K10" s="422"/>
      <c r="L10" s="422"/>
      <c r="M10" s="422"/>
      <c r="N10" s="422"/>
      <c r="O10" s="1"/>
      <c r="P10" s="1"/>
    </row>
    <row r="11" spans="1:18" ht="25" hidden="1" customHeight="1" x14ac:dyDescent="0.35">
      <c r="A11" s="104" t="s">
        <v>424</v>
      </c>
      <c r="B11" s="422" t="s">
        <v>1710</v>
      </c>
      <c r="C11" s="422"/>
      <c r="D11" s="422"/>
      <c r="E11" s="422"/>
      <c r="F11" s="422"/>
      <c r="G11" s="422"/>
      <c r="H11" s="422"/>
      <c r="I11" s="422"/>
      <c r="J11" s="422"/>
      <c r="K11" s="422"/>
      <c r="L11" s="422"/>
      <c r="M11" s="422"/>
      <c r="N11" s="422"/>
      <c r="O11" s="1"/>
      <c r="P11" s="40" t="s">
        <v>220</v>
      </c>
    </row>
    <row r="12" spans="1:18" ht="25" hidden="1" customHeight="1" x14ac:dyDescent="0.35">
      <c r="A12" s="104" t="s">
        <v>425</v>
      </c>
      <c r="B12" s="422" t="s">
        <v>1466</v>
      </c>
      <c r="C12" s="422"/>
      <c r="D12" s="422"/>
      <c r="E12" s="422"/>
      <c r="F12" s="422"/>
      <c r="G12" s="422"/>
      <c r="H12" s="422"/>
      <c r="I12" s="422"/>
      <c r="J12" s="422"/>
      <c r="K12" s="422"/>
      <c r="L12" s="422"/>
      <c r="M12" s="422"/>
      <c r="N12" s="422"/>
      <c r="O12" s="1" t="s">
        <v>226</v>
      </c>
      <c r="P12" s="40" t="s">
        <v>219</v>
      </c>
      <c r="Q12">
        <v>90038753</v>
      </c>
      <c r="R12" t="s">
        <v>519</v>
      </c>
    </row>
    <row r="13" spans="1:18" ht="25" hidden="1" customHeight="1" x14ac:dyDescent="0.35">
      <c r="A13" s="104" t="s">
        <v>426</v>
      </c>
      <c r="B13" s="422" t="s">
        <v>1504</v>
      </c>
      <c r="C13" s="422"/>
      <c r="D13" s="422"/>
      <c r="E13" s="422"/>
      <c r="F13" s="422"/>
      <c r="G13" s="422"/>
      <c r="H13" s="422"/>
      <c r="I13" s="422"/>
      <c r="J13" s="422"/>
      <c r="K13" s="422"/>
      <c r="L13" s="422"/>
      <c r="M13" s="422"/>
      <c r="N13" s="422"/>
      <c r="O13" s="1" t="s">
        <v>226</v>
      </c>
      <c r="P13" s="40" t="s">
        <v>221</v>
      </c>
    </row>
    <row r="14" spans="1:18" ht="25" hidden="1" customHeight="1" x14ac:dyDescent="0.35">
      <c r="A14" s="104" t="s">
        <v>427</v>
      </c>
      <c r="B14" s="421" t="s">
        <v>565</v>
      </c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1" t="s">
        <v>226</v>
      </c>
      <c r="P14" s="40" t="s">
        <v>221</v>
      </c>
    </row>
    <row r="15" spans="1:18" ht="25" hidden="1" customHeight="1" x14ac:dyDescent="0.35">
      <c r="A15" s="104" t="s">
        <v>428</v>
      </c>
      <c r="B15" s="421" t="s">
        <v>1731</v>
      </c>
      <c r="C15" s="421"/>
      <c r="D15" s="421"/>
      <c r="E15" s="421"/>
      <c r="F15" s="421"/>
      <c r="G15" s="421"/>
      <c r="H15" s="421"/>
      <c r="I15" s="421"/>
      <c r="J15" s="421"/>
      <c r="K15" s="421"/>
      <c r="L15" s="421"/>
      <c r="M15" s="421"/>
      <c r="N15" s="421"/>
      <c r="O15" s="1" t="s">
        <v>406</v>
      </c>
      <c r="P15" s="40" t="s">
        <v>221</v>
      </c>
    </row>
    <row r="16" spans="1:18" ht="25" hidden="1" customHeight="1" x14ac:dyDescent="0.35">
      <c r="A16" s="104" t="s">
        <v>429</v>
      </c>
      <c r="B16" s="425" t="s">
        <v>1714</v>
      </c>
      <c r="C16" s="425"/>
      <c r="D16" s="425"/>
      <c r="E16" s="425"/>
      <c r="F16" s="425"/>
      <c r="G16" s="425"/>
      <c r="H16" s="425"/>
      <c r="I16" s="425"/>
      <c r="J16" s="425"/>
      <c r="K16" s="425"/>
      <c r="L16" s="425"/>
      <c r="M16" s="425"/>
      <c r="N16" s="425"/>
      <c r="O16" s="1"/>
      <c r="P16" s="40"/>
    </row>
    <row r="17" spans="1:16" ht="25" hidden="1" customHeight="1" x14ac:dyDescent="0.35">
      <c r="A17" s="104" t="s">
        <v>430</v>
      </c>
      <c r="B17" s="421" t="s">
        <v>1715</v>
      </c>
      <c r="C17" s="421"/>
      <c r="D17" s="421"/>
      <c r="E17" s="421"/>
      <c r="F17" s="421"/>
      <c r="G17" s="421"/>
      <c r="H17" s="421"/>
      <c r="I17" s="421"/>
      <c r="J17" s="421"/>
      <c r="K17" s="421"/>
      <c r="L17" s="421"/>
      <c r="M17" s="421"/>
      <c r="N17" s="421"/>
      <c r="O17" s="4" t="s">
        <v>225</v>
      </c>
      <c r="P17" s="40" t="s">
        <v>221</v>
      </c>
    </row>
    <row r="18" spans="1:16" ht="25" hidden="1" customHeight="1" x14ac:dyDescent="0.35">
      <c r="A18" s="104" t="s">
        <v>431</v>
      </c>
      <c r="B18" s="422" t="s">
        <v>1716</v>
      </c>
      <c r="C18" s="422"/>
      <c r="D18" s="422"/>
      <c r="E18" s="422"/>
      <c r="F18" s="422"/>
      <c r="G18" s="422"/>
      <c r="H18" s="422"/>
      <c r="I18" s="422"/>
      <c r="J18" s="422"/>
      <c r="K18" s="422"/>
      <c r="L18" s="422"/>
      <c r="M18" s="422"/>
      <c r="N18" s="422"/>
      <c r="O18" s="1" t="s">
        <v>231</v>
      </c>
      <c r="P18" s="40" t="s">
        <v>222</v>
      </c>
    </row>
    <row r="19" spans="1:16" ht="25" hidden="1" customHeight="1" x14ac:dyDescent="0.35">
      <c r="A19" s="104" t="s">
        <v>432</v>
      </c>
      <c r="B19" s="422" t="s">
        <v>390</v>
      </c>
      <c r="C19" s="422"/>
      <c r="D19" s="422"/>
      <c r="E19" s="422"/>
      <c r="F19" s="422"/>
      <c r="G19" s="422"/>
      <c r="H19" s="422"/>
      <c r="I19" s="422"/>
      <c r="J19" s="422"/>
      <c r="K19" s="422"/>
      <c r="L19" s="422"/>
      <c r="M19" s="422"/>
      <c r="N19" s="422"/>
      <c r="O19" s="1" t="s">
        <v>224</v>
      </c>
      <c r="P19" s="40" t="s">
        <v>222</v>
      </c>
    </row>
    <row r="20" spans="1:16" ht="20.149999999999999" hidden="1" customHeight="1" x14ac:dyDescent="0.35">
      <c r="A20" s="104" t="s">
        <v>433</v>
      </c>
      <c r="B20" s="421" t="s">
        <v>1717</v>
      </c>
      <c r="C20" s="421"/>
      <c r="D20" s="421"/>
      <c r="E20" s="421"/>
      <c r="F20" s="421"/>
      <c r="G20" s="421"/>
      <c r="H20" s="421"/>
      <c r="I20" s="421"/>
      <c r="J20" s="421"/>
      <c r="K20" s="421"/>
      <c r="L20" s="421"/>
      <c r="M20" s="421"/>
      <c r="N20" s="421"/>
      <c r="O20" s="1" t="s">
        <v>223</v>
      </c>
      <c r="P20" s="40" t="s">
        <v>222</v>
      </c>
    </row>
    <row r="21" spans="1:16" ht="20.149999999999999" hidden="1" customHeight="1" x14ac:dyDescent="0.35">
      <c r="A21" s="104" t="s">
        <v>434</v>
      </c>
      <c r="B21" s="422" t="s">
        <v>1331</v>
      </c>
      <c r="C21" s="422"/>
      <c r="D21" s="422"/>
      <c r="E21" s="422"/>
      <c r="F21" s="422"/>
      <c r="G21" s="422"/>
      <c r="H21" s="422"/>
      <c r="I21" s="422"/>
      <c r="J21" s="422"/>
      <c r="K21" s="422"/>
      <c r="L21" s="422"/>
      <c r="M21" s="422"/>
      <c r="N21" s="422"/>
      <c r="O21" s="1" t="s">
        <v>227</v>
      </c>
      <c r="P21" s="40" t="s">
        <v>222</v>
      </c>
    </row>
    <row r="22" spans="1:16" ht="20.149999999999999" hidden="1" customHeight="1" x14ac:dyDescent="0.35">
      <c r="A22" s="104" t="s">
        <v>435</v>
      </c>
      <c r="B22" s="421" t="s">
        <v>1442</v>
      </c>
      <c r="C22" s="421"/>
      <c r="D22" s="421"/>
      <c r="E22" s="421"/>
      <c r="F22" s="421"/>
      <c r="G22" s="421"/>
      <c r="H22" s="421"/>
      <c r="I22" s="421"/>
      <c r="J22" s="421"/>
      <c r="K22" s="421"/>
      <c r="L22" s="421"/>
      <c r="M22" s="421"/>
      <c r="N22" s="421"/>
      <c r="O22" s="4" t="s">
        <v>223</v>
      </c>
      <c r="P22" s="40" t="s">
        <v>222</v>
      </c>
    </row>
    <row r="23" spans="1:16" ht="20.149999999999999" hidden="1" customHeight="1" x14ac:dyDescent="0.35">
      <c r="A23" s="104" t="s">
        <v>436</v>
      </c>
      <c r="B23" s="421" t="s">
        <v>321</v>
      </c>
      <c r="C23" s="421"/>
      <c r="D23" s="421"/>
      <c r="E23" s="421"/>
      <c r="F23" s="421"/>
      <c r="G23" s="421"/>
      <c r="H23" s="421"/>
      <c r="I23" s="421"/>
      <c r="J23" s="421"/>
      <c r="K23" s="421"/>
      <c r="L23" s="421"/>
      <c r="M23" s="421"/>
      <c r="N23" s="421"/>
      <c r="O23" s="1" t="s">
        <v>223</v>
      </c>
      <c r="P23" s="40" t="s">
        <v>222</v>
      </c>
    </row>
    <row r="24" spans="1:16" ht="20.149999999999999" hidden="1" customHeight="1" x14ac:dyDescent="0.35">
      <c r="A24" s="104" t="s">
        <v>437</v>
      </c>
      <c r="B24" s="421"/>
      <c r="C24" s="421"/>
      <c r="D24" s="421"/>
      <c r="E24" s="421"/>
      <c r="F24" s="421"/>
      <c r="G24" s="421"/>
      <c r="H24" s="421"/>
      <c r="I24" s="421"/>
      <c r="J24" s="421"/>
      <c r="K24" s="421"/>
      <c r="L24" s="421"/>
      <c r="M24" s="421"/>
      <c r="N24" s="421"/>
      <c r="O24" s="1" t="s">
        <v>223</v>
      </c>
      <c r="P24" s="40" t="s">
        <v>222</v>
      </c>
    </row>
    <row r="25" spans="1:16" ht="20.149999999999999" hidden="1" customHeight="1" x14ac:dyDescent="0.35">
      <c r="A25" s="104" t="s">
        <v>438</v>
      </c>
      <c r="B25" s="421" t="s">
        <v>1444</v>
      </c>
      <c r="C25" s="421"/>
      <c r="D25" s="421"/>
      <c r="E25" s="421"/>
      <c r="F25" s="421"/>
      <c r="G25" s="421"/>
      <c r="H25" s="421"/>
      <c r="I25" s="421"/>
      <c r="J25" s="421"/>
      <c r="K25" s="421"/>
      <c r="L25" s="421"/>
      <c r="M25" s="421"/>
      <c r="N25" s="421"/>
      <c r="O25" s="1"/>
      <c r="P25" s="40" t="s">
        <v>222</v>
      </c>
    </row>
    <row r="26" spans="1:16" ht="20.149999999999999" hidden="1" customHeight="1" x14ac:dyDescent="0.35">
      <c r="A26" s="104" t="s">
        <v>439</v>
      </c>
      <c r="B26" s="422"/>
      <c r="C26" s="422"/>
      <c r="D26" s="422"/>
      <c r="E26" s="422"/>
      <c r="F26" s="422"/>
      <c r="G26" s="422"/>
      <c r="H26" s="422"/>
      <c r="I26" s="422"/>
      <c r="J26" s="422"/>
      <c r="K26" s="422"/>
      <c r="L26" s="422"/>
      <c r="M26" s="422"/>
      <c r="N26" s="422"/>
      <c r="O26" s="1"/>
      <c r="P26" s="40" t="s">
        <v>222</v>
      </c>
    </row>
    <row r="27" spans="1:16" ht="20.149999999999999" hidden="1" customHeight="1" x14ac:dyDescent="0.35">
      <c r="A27" s="104" t="s">
        <v>440</v>
      </c>
      <c r="B27" s="422"/>
      <c r="C27" s="422"/>
      <c r="D27" s="422"/>
      <c r="E27" s="422"/>
      <c r="F27" s="422"/>
      <c r="G27" s="422"/>
      <c r="H27" s="422"/>
      <c r="I27" s="422"/>
      <c r="J27" s="422"/>
      <c r="K27" s="422"/>
      <c r="L27" s="422"/>
      <c r="M27" s="422"/>
      <c r="N27" s="422"/>
      <c r="O27" s="1"/>
      <c r="P27" s="1"/>
    </row>
    <row r="28" spans="1:16" ht="20.149999999999999" hidden="1" customHeight="1" x14ac:dyDescent="0.35">
      <c r="A28" s="104" t="s">
        <v>441</v>
      </c>
      <c r="B28" s="421" t="s">
        <v>320</v>
      </c>
      <c r="C28" s="421"/>
      <c r="D28" s="421"/>
      <c r="E28" s="421"/>
      <c r="F28" s="421"/>
      <c r="G28" s="421"/>
      <c r="H28" s="421"/>
      <c r="I28" s="421"/>
      <c r="J28" s="421"/>
      <c r="K28" s="421"/>
      <c r="L28" s="421"/>
      <c r="M28" s="421"/>
      <c r="N28" s="421"/>
      <c r="O28" s="1"/>
      <c r="P28" s="40" t="s">
        <v>222</v>
      </c>
    </row>
    <row r="29" spans="1:16" ht="20.149999999999999" hidden="1" customHeight="1" x14ac:dyDescent="0.35">
      <c r="A29" s="104" t="s">
        <v>442</v>
      </c>
      <c r="B29" s="422" t="s">
        <v>1303</v>
      </c>
      <c r="C29" s="422"/>
      <c r="D29" s="422"/>
      <c r="E29" s="422"/>
      <c r="F29" s="422"/>
      <c r="G29" s="422"/>
      <c r="H29" s="422"/>
      <c r="I29" s="422"/>
      <c r="J29" s="422"/>
      <c r="K29" s="422"/>
      <c r="L29" s="422"/>
      <c r="M29" s="422"/>
      <c r="N29" s="422"/>
      <c r="O29" s="1"/>
      <c r="P29" s="40" t="s">
        <v>219</v>
      </c>
    </row>
    <row r="30" spans="1:16" ht="20.149999999999999" hidden="1" customHeight="1" x14ac:dyDescent="0.35">
      <c r="A30" s="104" t="s">
        <v>443</v>
      </c>
      <c r="B30" s="422" t="s">
        <v>1335</v>
      </c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1"/>
      <c r="P30" s="40" t="s">
        <v>219</v>
      </c>
    </row>
    <row r="31" spans="1:16" ht="20.149999999999999" hidden="1" customHeight="1" x14ac:dyDescent="0.35">
      <c r="A31" s="104" t="s">
        <v>444</v>
      </c>
      <c r="B31" s="422" t="s">
        <v>1462</v>
      </c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  <c r="O31" s="1"/>
      <c r="P31" s="40" t="s">
        <v>219</v>
      </c>
    </row>
    <row r="32" spans="1:16" ht="20.149999999999999" hidden="1" customHeight="1" x14ac:dyDescent="0.35">
      <c r="A32" s="104" t="s">
        <v>445</v>
      </c>
      <c r="B32" s="422" t="s">
        <v>232</v>
      </c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  <c r="O32" s="1"/>
      <c r="P32" s="40" t="s">
        <v>219</v>
      </c>
    </row>
    <row r="33" spans="1:18" ht="20.149999999999999" hidden="1" customHeight="1" x14ac:dyDescent="0.35">
      <c r="A33" s="104" t="s">
        <v>446</v>
      </c>
      <c r="B33" s="422" t="s">
        <v>247</v>
      </c>
      <c r="C33" s="422"/>
      <c r="D33" s="422"/>
      <c r="E33" s="422"/>
      <c r="F33" s="422"/>
      <c r="G33" s="422"/>
      <c r="H33" s="422"/>
      <c r="I33" s="422"/>
      <c r="J33" s="422"/>
      <c r="K33" s="422"/>
      <c r="L33" s="422"/>
      <c r="M33" s="422"/>
      <c r="N33" s="422"/>
      <c r="O33" s="1"/>
      <c r="P33" s="40" t="s">
        <v>219</v>
      </c>
    </row>
    <row r="34" spans="1:18" ht="20.149999999999999" hidden="1" customHeight="1" x14ac:dyDescent="0.35">
      <c r="A34" s="104" t="s">
        <v>447</v>
      </c>
      <c r="B34" s="421" t="s">
        <v>586</v>
      </c>
      <c r="C34" s="421"/>
      <c r="D34" s="421"/>
      <c r="E34" s="421"/>
      <c r="F34" s="421"/>
      <c r="G34" s="421"/>
      <c r="H34" s="421"/>
      <c r="I34" s="421"/>
      <c r="J34" s="421"/>
      <c r="K34" s="421"/>
      <c r="L34" s="421"/>
      <c r="M34" s="421"/>
      <c r="N34" s="421"/>
      <c r="O34" s="1"/>
      <c r="P34" s="40" t="s">
        <v>219</v>
      </c>
    </row>
    <row r="35" spans="1:18" ht="20.149999999999999" hidden="1" customHeight="1" x14ac:dyDescent="0.35">
      <c r="A35" s="104" t="s">
        <v>448</v>
      </c>
      <c r="B35" s="422" t="s">
        <v>1450</v>
      </c>
      <c r="C35" s="422"/>
      <c r="D35" s="422"/>
      <c r="E35" s="422"/>
      <c r="F35" s="422"/>
      <c r="G35" s="422"/>
      <c r="H35" s="422"/>
      <c r="I35" s="422"/>
      <c r="J35" s="422"/>
      <c r="K35" s="422"/>
      <c r="L35" s="422"/>
      <c r="M35" s="422"/>
      <c r="N35" s="422"/>
      <c r="O35" s="1"/>
      <c r="P35" s="40" t="s">
        <v>219</v>
      </c>
      <c r="Q35">
        <v>84519298</v>
      </c>
      <c r="R35" t="s">
        <v>519</v>
      </c>
    </row>
    <row r="36" spans="1:18" ht="20.149999999999999" hidden="1" customHeight="1" x14ac:dyDescent="0.35">
      <c r="A36" s="104" t="s">
        <v>449</v>
      </c>
      <c r="B36" s="422"/>
      <c r="C36" s="422"/>
      <c r="D36" s="422"/>
      <c r="E36" s="422"/>
      <c r="F36" s="422"/>
      <c r="G36" s="422"/>
      <c r="H36" s="422"/>
      <c r="I36" s="422"/>
      <c r="J36" s="422"/>
      <c r="K36" s="422"/>
      <c r="L36" s="422"/>
      <c r="M36" s="422"/>
      <c r="N36" s="422"/>
      <c r="O36" s="1"/>
      <c r="P36" s="40" t="s">
        <v>219</v>
      </c>
    </row>
    <row r="37" spans="1:18" ht="20.149999999999999" hidden="1" customHeight="1" x14ac:dyDescent="0.35">
      <c r="A37" s="104" t="s">
        <v>450</v>
      </c>
      <c r="B37" s="422"/>
      <c r="C37" s="422"/>
      <c r="D37" s="422"/>
      <c r="E37" s="422"/>
      <c r="F37" s="422"/>
      <c r="G37" s="422"/>
      <c r="H37" s="422"/>
      <c r="I37" s="422"/>
      <c r="J37" s="422"/>
      <c r="K37" s="422"/>
      <c r="L37" s="422"/>
      <c r="M37" s="422"/>
      <c r="N37" s="422"/>
      <c r="O37" s="1"/>
      <c r="P37" s="40" t="s">
        <v>219</v>
      </c>
    </row>
    <row r="38" spans="1:18" ht="20.149999999999999" hidden="1" customHeight="1" x14ac:dyDescent="0.35">
      <c r="A38" s="104" t="s">
        <v>451</v>
      </c>
      <c r="B38" s="422" t="s">
        <v>1446</v>
      </c>
      <c r="C38" s="422"/>
      <c r="D38" s="422"/>
      <c r="E38" s="422"/>
      <c r="F38" s="422"/>
      <c r="G38" s="422"/>
      <c r="H38" s="422"/>
      <c r="I38" s="422"/>
      <c r="J38" s="422"/>
      <c r="K38" s="422"/>
      <c r="L38" s="422"/>
      <c r="M38" s="422"/>
      <c r="N38" s="422"/>
      <c r="O38" s="1"/>
      <c r="P38" s="40" t="s">
        <v>219</v>
      </c>
    </row>
    <row r="39" spans="1:18" ht="20.149999999999999" hidden="1" customHeight="1" x14ac:dyDescent="0.35">
      <c r="A39" s="104" t="s">
        <v>452</v>
      </c>
      <c r="B39" s="422" t="s">
        <v>378</v>
      </c>
      <c r="C39" s="422"/>
      <c r="D39" s="422"/>
      <c r="E39" s="422"/>
      <c r="F39" s="422"/>
      <c r="G39" s="422"/>
      <c r="H39" s="422"/>
      <c r="I39" s="422"/>
      <c r="J39" s="422"/>
      <c r="K39" s="422"/>
      <c r="L39" s="422"/>
      <c r="M39" s="422"/>
      <c r="N39" s="422"/>
      <c r="O39" s="1"/>
      <c r="P39" s="40" t="s">
        <v>219</v>
      </c>
    </row>
    <row r="40" spans="1:18" ht="20.149999999999999" hidden="1" customHeight="1" x14ac:dyDescent="0.35">
      <c r="A40" s="104" t="s">
        <v>453</v>
      </c>
      <c r="B40" s="422" t="s">
        <v>621</v>
      </c>
      <c r="C40" s="422"/>
      <c r="D40" s="422"/>
      <c r="E40" s="422"/>
      <c r="F40" s="422"/>
      <c r="G40" s="422"/>
      <c r="H40" s="422"/>
      <c r="I40" s="422"/>
      <c r="J40" s="422"/>
      <c r="K40" s="422"/>
      <c r="L40" s="422"/>
      <c r="M40" s="422"/>
      <c r="N40" s="422"/>
      <c r="O40" s="1"/>
      <c r="P40" s="40" t="s">
        <v>236</v>
      </c>
    </row>
    <row r="41" spans="1:18" ht="20.149999999999999" hidden="1" customHeight="1" x14ac:dyDescent="0.35">
      <c r="A41" s="104" t="s">
        <v>454</v>
      </c>
      <c r="B41" s="427"/>
      <c r="C41" s="427"/>
      <c r="D41" s="427"/>
      <c r="E41" s="427"/>
      <c r="F41" s="427"/>
      <c r="G41" s="427"/>
      <c r="H41" s="427"/>
      <c r="I41" s="427"/>
      <c r="J41" s="427"/>
      <c r="K41" s="427"/>
      <c r="L41" s="427"/>
      <c r="M41" s="427"/>
      <c r="N41" s="427"/>
      <c r="O41" s="1"/>
      <c r="P41" s="40" t="s">
        <v>234</v>
      </c>
    </row>
    <row r="42" spans="1:18" ht="20.149999999999999" hidden="1" customHeight="1" x14ac:dyDescent="0.35">
      <c r="A42" s="104" t="s">
        <v>455</v>
      </c>
      <c r="B42" s="421"/>
      <c r="C42" s="421"/>
      <c r="D42" s="421"/>
      <c r="E42" s="421"/>
      <c r="F42" s="421"/>
      <c r="G42" s="421"/>
      <c r="H42" s="421"/>
      <c r="I42" s="421"/>
      <c r="J42" s="421"/>
      <c r="K42" s="421"/>
      <c r="L42" s="421"/>
      <c r="M42" s="421"/>
      <c r="N42" s="421"/>
      <c r="O42" s="1"/>
      <c r="P42" s="40" t="s">
        <v>219</v>
      </c>
    </row>
    <row r="43" spans="1:18" ht="20.149999999999999" customHeight="1" x14ac:dyDescent="0.35">
      <c r="A43" s="104" t="s">
        <v>456</v>
      </c>
      <c r="B43" s="422" t="s">
        <v>1296</v>
      </c>
      <c r="C43" s="422"/>
      <c r="D43" s="422"/>
      <c r="E43" s="422"/>
      <c r="F43" s="422"/>
      <c r="G43" s="422"/>
      <c r="H43" s="422"/>
      <c r="I43" s="422"/>
      <c r="J43" s="422"/>
      <c r="K43" s="422"/>
      <c r="L43" s="422"/>
      <c r="M43" s="422"/>
      <c r="N43" s="422"/>
      <c r="O43" s="1"/>
      <c r="P43" s="40" t="s">
        <v>222</v>
      </c>
    </row>
    <row r="44" spans="1:18" ht="20.149999999999999" hidden="1" customHeight="1" x14ac:dyDescent="0.35">
      <c r="A44" s="104" t="s">
        <v>457</v>
      </c>
      <c r="B44" s="422"/>
      <c r="C44" s="422"/>
      <c r="D44" s="422"/>
      <c r="E44" s="422"/>
      <c r="F44" s="422"/>
      <c r="G44" s="422"/>
      <c r="H44" s="422"/>
      <c r="I44" s="422"/>
      <c r="J44" s="422"/>
      <c r="K44" s="422"/>
      <c r="L44" s="422"/>
      <c r="M44" s="422"/>
      <c r="N44" s="422"/>
      <c r="O44" s="1"/>
      <c r="P44" s="40" t="s">
        <v>219</v>
      </c>
    </row>
    <row r="45" spans="1:18" ht="20.149999999999999" hidden="1" customHeight="1" x14ac:dyDescent="0.35">
      <c r="A45" s="104" t="s">
        <v>458</v>
      </c>
      <c r="B45" s="422" t="s">
        <v>367</v>
      </c>
      <c r="C45" s="422"/>
      <c r="D45" s="422"/>
      <c r="E45" s="422"/>
      <c r="F45" s="422"/>
      <c r="G45" s="422"/>
      <c r="H45" s="422"/>
      <c r="I45" s="422"/>
      <c r="J45" s="422"/>
      <c r="K45" s="422"/>
      <c r="L45" s="422"/>
      <c r="M45" s="422"/>
      <c r="N45" s="422"/>
      <c r="O45" s="1"/>
      <c r="P45" s="40" t="s">
        <v>222</v>
      </c>
    </row>
    <row r="46" spans="1:18" ht="20.149999999999999" hidden="1" customHeight="1" x14ac:dyDescent="0.35">
      <c r="A46" s="104" t="s">
        <v>459</v>
      </c>
      <c r="B46" s="422" t="s">
        <v>741</v>
      </c>
      <c r="C46" s="422"/>
      <c r="D46" s="422"/>
      <c r="E46" s="422"/>
      <c r="F46" s="422"/>
      <c r="G46" s="422"/>
      <c r="H46" s="422"/>
      <c r="I46" s="422"/>
      <c r="J46" s="422"/>
      <c r="K46" s="422"/>
      <c r="L46" s="422"/>
      <c r="M46" s="422"/>
      <c r="N46" s="422"/>
      <c r="O46" s="1"/>
      <c r="P46" s="40" t="s">
        <v>222</v>
      </c>
    </row>
    <row r="47" spans="1:18" ht="20.149999999999999" hidden="1" customHeight="1" x14ac:dyDescent="0.35">
      <c r="A47" s="104" t="s">
        <v>460</v>
      </c>
      <c r="B47" s="422" t="s">
        <v>1388</v>
      </c>
      <c r="C47" s="422"/>
      <c r="D47" s="422"/>
      <c r="E47" s="422"/>
      <c r="F47" s="422"/>
      <c r="G47" s="422"/>
      <c r="H47" s="422"/>
      <c r="I47" s="422"/>
      <c r="J47" s="422"/>
      <c r="K47" s="422"/>
      <c r="L47" s="422"/>
      <c r="M47" s="422"/>
      <c r="N47" s="422"/>
      <c r="O47" s="1"/>
      <c r="P47" s="40" t="s">
        <v>222</v>
      </c>
    </row>
    <row r="48" spans="1:18" ht="20.149999999999999" hidden="1" customHeight="1" x14ac:dyDescent="0.35">
      <c r="A48" s="104" t="s">
        <v>461</v>
      </c>
      <c r="B48" s="422" t="s">
        <v>1733</v>
      </c>
      <c r="C48" s="422"/>
      <c r="D48" s="422"/>
      <c r="E48" s="422"/>
      <c r="F48" s="422"/>
      <c r="G48" s="422"/>
      <c r="H48" s="422"/>
      <c r="I48" s="422"/>
      <c r="J48" s="422"/>
      <c r="K48" s="422"/>
      <c r="L48" s="422"/>
      <c r="M48" s="422"/>
      <c r="N48" s="422"/>
      <c r="O48" s="1"/>
      <c r="P48" s="40" t="s">
        <v>221</v>
      </c>
    </row>
    <row r="49" spans="1:16" ht="20.149999999999999" hidden="1" customHeight="1" x14ac:dyDescent="0.35">
      <c r="A49" s="104" t="s">
        <v>462</v>
      </c>
      <c r="B49" s="421" t="s">
        <v>1725</v>
      </c>
      <c r="C49" s="421"/>
      <c r="D49" s="421"/>
      <c r="E49" s="421"/>
      <c r="F49" s="421"/>
      <c r="G49" s="421"/>
      <c r="H49" s="421"/>
      <c r="I49" s="421"/>
      <c r="J49" s="421"/>
      <c r="K49" s="421"/>
      <c r="L49" s="421"/>
      <c r="M49" s="421"/>
      <c r="N49" s="421"/>
      <c r="O49" s="4"/>
      <c r="P49" s="40" t="s">
        <v>221</v>
      </c>
    </row>
    <row r="50" spans="1:16" ht="20.149999999999999" hidden="1" customHeight="1" x14ac:dyDescent="0.35">
      <c r="A50" s="104" t="s">
        <v>463</v>
      </c>
      <c r="B50" s="421" t="s">
        <v>547</v>
      </c>
      <c r="C50" s="421"/>
      <c r="D50" s="421"/>
      <c r="E50" s="421"/>
      <c r="F50" s="421"/>
      <c r="G50" s="421"/>
      <c r="H50" s="421"/>
      <c r="I50" s="421"/>
      <c r="J50" s="421"/>
      <c r="K50" s="421"/>
      <c r="L50" s="421"/>
      <c r="M50" s="421"/>
      <c r="N50" s="421"/>
      <c r="O50" s="1"/>
      <c r="P50" s="40" t="s">
        <v>233</v>
      </c>
    </row>
    <row r="51" spans="1:16" ht="20.149999999999999" hidden="1" customHeight="1" x14ac:dyDescent="0.35">
      <c r="A51" s="104" t="s">
        <v>464</v>
      </c>
      <c r="B51" s="422" t="s">
        <v>1349</v>
      </c>
      <c r="C51" s="422"/>
      <c r="D51" s="422"/>
      <c r="E51" s="422"/>
      <c r="F51" s="422"/>
      <c r="G51" s="422"/>
      <c r="H51" s="422"/>
      <c r="I51" s="422"/>
      <c r="J51" s="422"/>
      <c r="K51" s="422"/>
      <c r="L51" s="422"/>
      <c r="M51" s="422"/>
      <c r="N51" s="422"/>
      <c r="O51" s="1"/>
      <c r="P51" s="40" t="s">
        <v>230</v>
      </c>
    </row>
    <row r="52" spans="1:16" ht="20.149999999999999" hidden="1" customHeight="1" x14ac:dyDescent="0.35">
      <c r="A52" s="104" t="s">
        <v>465</v>
      </c>
      <c r="B52" s="421" t="s">
        <v>1718</v>
      </c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"/>
      <c r="P52" s="40" t="s">
        <v>220</v>
      </c>
    </row>
    <row r="53" spans="1:16" ht="20.149999999999999" hidden="1" customHeight="1" x14ac:dyDescent="0.35">
      <c r="A53" s="104" t="s">
        <v>466</v>
      </c>
      <c r="B53" s="422" t="s">
        <v>567</v>
      </c>
      <c r="C53" s="422"/>
      <c r="D53" s="422"/>
      <c r="E53" s="422"/>
      <c r="F53" s="422"/>
      <c r="G53" s="422"/>
      <c r="H53" s="422"/>
      <c r="I53" s="422"/>
      <c r="J53" s="422"/>
      <c r="K53" s="422"/>
      <c r="L53" s="422"/>
      <c r="M53" s="422"/>
      <c r="N53" s="422"/>
      <c r="O53" s="1"/>
      <c r="P53" s="40" t="s">
        <v>220</v>
      </c>
    </row>
    <row r="54" spans="1:16" ht="20.149999999999999" hidden="1" customHeight="1" x14ac:dyDescent="0.35">
      <c r="A54" s="104" t="s">
        <v>467</v>
      </c>
      <c r="B54" s="421" t="s">
        <v>1720</v>
      </c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1"/>
      <c r="P54" s="40" t="s">
        <v>220</v>
      </c>
    </row>
    <row r="55" spans="1:16" ht="20.149999999999999" hidden="1" customHeight="1" x14ac:dyDescent="0.35">
      <c r="A55" s="104" t="s">
        <v>468</v>
      </c>
      <c r="B55" s="422" t="s">
        <v>1762</v>
      </c>
      <c r="C55" s="422"/>
      <c r="D55" s="422"/>
      <c r="E55" s="422"/>
      <c r="F55" s="422"/>
      <c r="G55" s="422"/>
      <c r="H55" s="422"/>
      <c r="I55" s="422"/>
      <c r="J55" s="422"/>
      <c r="K55" s="422"/>
      <c r="L55" s="422"/>
      <c r="M55" s="422"/>
      <c r="N55" s="422"/>
      <c r="O55" s="1"/>
      <c r="P55" s="40" t="s">
        <v>220</v>
      </c>
    </row>
    <row r="56" spans="1:16" ht="20.149999999999999" hidden="1" customHeight="1" x14ac:dyDescent="0.35">
      <c r="A56" s="104" t="s">
        <v>469</v>
      </c>
      <c r="B56" s="422" t="s">
        <v>375</v>
      </c>
      <c r="C56" s="422"/>
      <c r="D56" s="422"/>
      <c r="E56" s="422"/>
      <c r="F56" s="422"/>
      <c r="G56" s="422"/>
      <c r="H56" s="422"/>
      <c r="I56" s="422"/>
      <c r="J56" s="422"/>
      <c r="K56" s="422"/>
      <c r="L56" s="422"/>
      <c r="M56" s="422"/>
      <c r="N56" s="422"/>
      <c r="O56" s="1"/>
      <c r="P56" s="40" t="s">
        <v>220</v>
      </c>
    </row>
    <row r="57" spans="1:16" ht="20.149999999999999" hidden="1" customHeight="1" x14ac:dyDescent="0.35">
      <c r="A57" s="104" t="s">
        <v>470</v>
      </c>
      <c r="B57" s="422" t="s">
        <v>235</v>
      </c>
      <c r="C57" s="422"/>
      <c r="D57" s="422"/>
      <c r="E57" s="422"/>
      <c r="F57" s="422"/>
      <c r="G57" s="422"/>
      <c r="H57" s="422"/>
      <c r="I57" s="422"/>
      <c r="J57" s="422"/>
      <c r="K57" s="422"/>
      <c r="L57" s="422"/>
      <c r="M57" s="422"/>
      <c r="N57" s="422"/>
      <c r="O57" s="1"/>
      <c r="P57" s="40" t="s">
        <v>220</v>
      </c>
    </row>
    <row r="58" spans="1:16" ht="20.149999999999999" hidden="1" customHeight="1" x14ac:dyDescent="0.35">
      <c r="A58" s="104" t="s">
        <v>471</v>
      </c>
      <c r="B58" s="422" t="s">
        <v>370</v>
      </c>
      <c r="C58" s="422"/>
      <c r="D58" s="422"/>
      <c r="E58" s="422"/>
      <c r="F58" s="422"/>
      <c r="G58" s="422"/>
      <c r="H58" s="422"/>
      <c r="I58" s="422"/>
      <c r="J58" s="422"/>
      <c r="K58" s="422"/>
      <c r="L58" s="422"/>
      <c r="M58" s="422"/>
      <c r="N58" s="422"/>
      <c r="O58" s="1"/>
      <c r="P58" s="40" t="s">
        <v>220</v>
      </c>
    </row>
    <row r="59" spans="1:16" ht="20.149999999999999" hidden="1" customHeight="1" x14ac:dyDescent="0.35">
      <c r="A59" s="104" t="s">
        <v>472</v>
      </c>
      <c r="B59" s="422" t="s">
        <v>626</v>
      </c>
      <c r="C59" s="422"/>
      <c r="D59" s="422"/>
      <c r="E59" s="422"/>
      <c r="F59" s="422"/>
      <c r="G59" s="422"/>
      <c r="H59" s="422"/>
      <c r="I59" s="422"/>
      <c r="J59" s="422"/>
      <c r="K59" s="422"/>
      <c r="L59" s="422"/>
      <c r="M59" s="422"/>
      <c r="N59" s="422"/>
      <c r="O59" s="1"/>
      <c r="P59" s="40" t="s">
        <v>220</v>
      </c>
    </row>
    <row r="60" spans="1:16" ht="20.149999999999999" hidden="1" customHeight="1" x14ac:dyDescent="0.35">
      <c r="A60" s="104" t="s">
        <v>473</v>
      </c>
      <c r="B60" s="421" t="s">
        <v>389</v>
      </c>
      <c r="C60" s="421"/>
      <c r="D60" s="421"/>
      <c r="E60" s="421"/>
      <c r="F60" s="421"/>
      <c r="G60" s="421"/>
      <c r="H60" s="421"/>
      <c r="I60" s="421"/>
      <c r="J60" s="421"/>
      <c r="K60" s="421"/>
      <c r="L60" s="421"/>
      <c r="M60" s="421"/>
      <c r="N60" s="421"/>
      <c r="O60" s="4"/>
      <c r="P60" s="40" t="s">
        <v>220</v>
      </c>
    </row>
    <row r="61" spans="1:16" ht="20.149999999999999" hidden="1" customHeight="1" x14ac:dyDescent="0.35">
      <c r="A61" s="104" t="s">
        <v>474</v>
      </c>
      <c r="B61" s="422" t="s">
        <v>412</v>
      </c>
      <c r="C61" s="422"/>
      <c r="D61" s="422"/>
      <c r="E61" s="422"/>
      <c r="F61" s="422"/>
      <c r="G61" s="422"/>
      <c r="H61" s="422"/>
      <c r="I61" s="422"/>
      <c r="J61" s="422"/>
      <c r="K61" s="422"/>
      <c r="L61" s="422"/>
      <c r="M61" s="422"/>
      <c r="N61" s="422"/>
      <c r="O61" s="1"/>
      <c r="P61" s="40" t="s">
        <v>220</v>
      </c>
    </row>
    <row r="62" spans="1:16" ht="20.149999999999999" hidden="1" customHeight="1" x14ac:dyDescent="0.35">
      <c r="A62" s="104" t="s">
        <v>475</v>
      </c>
      <c r="B62" s="422"/>
      <c r="C62" s="422"/>
      <c r="D62" s="422"/>
      <c r="E62" s="422"/>
      <c r="F62" s="422"/>
      <c r="G62" s="422"/>
      <c r="H62" s="422"/>
      <c r="I62" s="422"/>
      <c r="J62" s="422"/>
      <c r="K62" s="422"/>
      <c r="L62" s="422"/>
      <c r="M62" s="422"/>
      <c r="N62" s="422"/>
      <c r="O62" s="1"/>
      <c r="P62" s="40" t="s">
        <v>220</v>
      </c>
    </row>
    <row r="63" spans="1:16" ht="20.149999999999999" hidden="1" customHeight="1" x14ac:dyDescent="0.35">
      <c r="A63" s="104" t="s">
        <v>476</v>
      </c>
      <c r="B63" s="422" t="s">
        <v>350</v>
      </c>
      <c r="C63" s="422"/>
      <c r="D63" s="422"/>
      <c r="E63" s="422"/>
      <c r="F63" s="422"/>
      <c r="G63" s="422"/>
      <c r="H63" s="422"/>
      <c r="I63" s="422"/>
      <c r="J63" s="422"/>
      <c r="K63" s="422"/>
      <c r="L63" s="422"/>
      <c r="M63" s="422"/>
      <c r="N63" s="422"/>
      <c r="O63" s="1"/>
      <c r="P63" s="40" t="s">
        <v>230</v>
      </c>
    </row>
    <row r="64" spans="1:16" ht="20.149999999999999" hidden="1" customHeight="1" x14ac:dyDescent="0.35">
      <c r="A64" s="104" t="s">
        <v>477</v>
      </c>
      <c r="B64" s="422" t="s">
        <v>1719</v>
      </c>
      <c r="C64" s="422"/>
      <c r="D64" s="422"/>
      <c r="E64" s="422"/>
      <c r="F64" s="422"/>
      <c r="G64" s="422"/>
      <c r="H64" s="422"/>
      <c r="I64" s="422"/>
      <c r="J64" s="422"/>
      <c r="K64" s="422"/>
      <c r="L64" s="422"/>
      <c r="M64" s="422"/>
      <c r="N64" s="422"/>
      <c r="O64" s="1"/>
      <c r="P64" s="40" t="s">
        <v>220</v>
      </c>
    </row>
    <row r="65" spans="1:17" ht="20.149999999999999" hidden="1" customHeight="1" x14ac:dyDescent="0.35">
      <c r="A65" s="104" t="s">
        <v>478</v>
      </c>
      <c r="B65" s="422" t="s">
        <v>619</v>
      </c>
      <c r="C65" s="422"/>
      <c r="D65" s="422"/>
      <c r="E65" s="422"/>
      <c r="F65" s="422"/>
      <c r="G65" s="422"/>
      <c r="H65" s="422"/>
      <c r="I65" s="422"/>
      <c r="J65" s="422"/>
      <c r="K65" s="422"/>
      <c r="L65" s="422"/>
      <c r="M65" s="422"/>
      <c r="N65" s="422"/>
      <c r="O65" s="1"/>
      <c r="P65" s="40" t="s">
        <v>220</v>
      </c>
    </row>
    <row r="66" spans="1:17" ht="20.149999999999999" hidden="1" customHeight="1" x14ac:dyDescent="0.35">
      <c r="A66" s="104" t="s">
        <v>479</v>
      </c>
      <c r="B66" s="422" t="s">
        <v>391</v>
      </c>
      <c r="C66" s="422"/>
      <c r="D66" s="422"/>
      <c r="E66" s="422"/>
      <c r="F66" s="422"/>
      <c r="G66" s="422"/>
      <c r="H66" s="422"/>
      <c r="I66" s="422"/>
      <c r="J66" s="422"/>
      <c r="K66" s="422"/>
      <c r="L66" s="422"/>
      <c r="M66" s="422"/>
      <c r="N66" s="422"/>
      <c r="O66" s="1"/>
      <c r="P66" s="40" t="s">
        <v>228</v>
      </c>
    </row>
    <row r="67" spans="1:17" ht="20.149999999999999" hidden="1" customHeight="1" x14ac:dyDescent="0.35">
      <c r="A67" s="105" t="s">
        <v>480</v>
      </c>
      <c r="B67" s="422" t="s">
        <v>1701</v>
      </c>
      <c r="C67" s="422"/>
      <c r="D67" s="422"/>
      <c r="E67" s="422"/>
      <c r="F67" s="422"/>
      <c r="G67" s="422"/>
      <c r="H67" s="422"/>
      <c r="I67" s="422"/>
      <c r="J67" s="422"/>
      <c r="K67" s="422"/>
      <c r="L67" s="422"/>
      <c r="M67" s="422"/>
      <c r="N67" s="422"/>
      <c r="O67" s="1"/>
      <c r="P67" s="40" t="s">
        <v>33</v>
      </c>
    </row>
    <row r="68" spans="1:17" ht="20.149999999999999" hidden="1" customHeight="1" x14ac:dyDescent="0.35">
      <c r="A68" s="104"/>
      <c r="B68" s="422"/>
      <c r="C68" s="422"/>
      <c r="D68" s="422"/>
      <c r="E68" s="422"/>
      <c r="F68" s="422"/>
      <c r="G68" s="422"/>
      <c r="H68" s="422"/>
      <c r="I68" s="422"/>
      <c r="J68" s="422"/>
      <c r="K68" s="422"/>
      <c r="L68" s="422"/>
      <c r="M68" s="422"/>
      <c r="N68" s="422"/>
      <c r="O68" s="1"/>
      <c r="P68" s="40"/>
    </row>
    <row r="69" spans="1:17" ht="20.149999999999999" hidden="1" customHeight="1" x14ac:dyDescent="0.35">
      <c r="A69" s="1" t="s">
        <v>481</v>
      </c>
      <c r="B69" s="422"/>
      <c r="C69" s="422"/>
      <c r="D69" s="422"/>
      <c r="E69" s="422"/>
      <c r="F69" s="422"/>
      <c r="G69" s="422"/>
      <c r="H69" s="422"/>
      <c r="I69" s="422"/>
      <c r="J69" s="422"/>
      <c r="K69" s="422"/>
      <c r="L69" s="422"/>
      <c r="M69" s="422"/>
      <c r="N69" s="422"/>
      <c r="O69" s="1"/>
      <c r="P69" s="40" t="s">
        <v>33</v>
      </c>
    </row>
    <row r="70" spans="1:17" ht="20.149999999999999" hidden="1" customHeight="1" x14ac:dyDescent="0.35">
      <c r="A70" s="104" t="s">
        <v>482</v>
      </c>
      <c r="B70" s="422" t="s">
        <v>563</v>
      </c>
      <c r="C70" s="422"/>
      <c r="D70" s="422"/>
      <c r="E70" s="422"/>
      <c r="F70" s="422"/>
      <c r="G70" s="422"/>
      <c r="H70" s="422"/>
      <c r="I70" s="422"/>
      <c r="J70" s="422"/>
      <c r="K70" s="422"/>
      <c r="L70" s="422"/>
      <c r="M70" s="422"/>
      <c r="N70" s="422"/>
      <c r="O70" s="1"/>
      <c r="P70" s="40" t="s">
        <v>33</v>
      </c>
    </row>
    <row r="71" spans="1:17" ht="20.149999999999999" hidden="1" customHeight="1" x14ac:dyDescent="0.35">
      <c r="A71" s="1" t="s">
        <v>483</v>
      </c>
      <c r="B71" s="422"/>
      <c r="C71" s="422"/>
      <c r="D71" s="422"/>
      <c r="E71" s="422"/>
      <c r="F71" s="422"/>
      <c r="G71" s="422"/>
      <c r="H71" s="422"/>
      <c r="I71" s="422"/>
      <c r="J71" s="422"/>
      <c r="K71" s="422"/>
      <c r="L71" s="422"/>
      <c r="M71" s="422"/>
      <c r="N71" s="422"/>
      <c r="O71" s="1"/>
      <c r="P71" s="40" t="s">
        <v>33</v>
      </c>
    </row>
    <row r="72" spans="1:17" ht="20.149999999999999" hidden="1" customHeight="1" x14ac:dyDescent="0.35">
      <c r="A72" s="1" t="s">
        <v>484</v>
      </c>
      <c r="B72" s="422"/>
      <c r="C72" s="422"/>
      <c r="D72" s="422"/>
      <c r="E72" s="422"/>
      <c r="F72" s="422"/>
      <c r="G72" s="422"/>
      <c r="H72" s="422"/>
      <c r="I72" s="422"/>
      <c r="J72" s="422"/>
      <c r="K72" s="422"/>
      <c r="L72" s="422"/>
      <c r="M72" s="422"/>
      <c r="N72" s="422"/>
      <c r="O72" s="1"/>
      <c r="P72" s="40" t="s">
        <v>33</v>
      </c>
    </row>
    <row r="73" spans="1:17" ht="20.149999999999999" hidden="1" customHeight="1" x14ac:dyDescent="0.35">
      <c r="A73" s="104" t="s">
        <v>485</v>
      </c>
      <c r="B73" s="422" t="s">
        <v>1182</v>
      </c>
      <c r="C73" s="422"/>
      <c r="D73" s="422"/>
      <c r="E73" s="422"/>
      <c r="F73" s="422"/>
      <c r="G73" s="422"/>
      <c r="H73" s="422"/>
      <c r="I73" s="422"/>
      <c r="J73" s="422"/>
      <c r="K73" s="422"/>
      <c r="L73" s="422"/>
      <c r="M73" s="422"/>
      <c r="N73" s="422"/>
      <c r="O73" s="1"/>
      <c r="P73" s="40" t="s">
        <v>221</v>
      </c>
    </row>
    <row r="74" spans="1:17" ht="20.149999999999999" hidden="1" customHeight="1" x14ac:dyDescent="0.35">
      <c r="A74" s="104"/>
      <c r="B74" s="433"/>
      <c r="C74" s="433"/>
      <c r="D74" s="433"/>
      <c r="E74" s="433"/>
      <c r="F74" s="433"/>
      <c r="G74" s="433"/>
      <c r="H74" s="433"/>
      <c r="I74" s="433"/>
      <c r="J74" s="433"/>
      <c r="K74" s="433"/>
      <c r="L74" s="433"/>
      <c r="M74" s="433"/>
      <c r="N74" s="433"/>
      <c r="O74" s="1"/>
      <c r="P74" s="1"/>
    </row>
    <row r="75" spans="1:17" ht="20.149999999999999" hidden="1" customHeight="1" x14ac:dyDescent="0.35">
      <c r="A75" s="104" t="s">
        <v>486</v>
      </c>
      <c r="B75" s="422" t="s">
        <v>1456</v>
      </c>
      <c r="C75" s="422"/>
      <c r="D75" s="422"/>
      <c r="E75" s="422"/>
      <c r="F75" s="422"/>
      <c r="G75" s="422"/>
      <c r="H75" s="422"/>
      <c r="I75" s="422"/>
      <c r="J75" s="422"/>
      <c r="K75" s="422"/>
      <c r="L75" s="422"/>
      <c r="M75" s="422"/>
      <c r="N75" s="422"/>
      <c r="O75" s="1"/>
      <c r="P75" s="1"/>
    </row>
    <row r="76" spans="1:17" ht="20.149999999999999" hidden="1" customHeight="1" x14ac:dyDescent="0.35">
      <c r="A76" s="104" t="s">
        <v>487</v>
      </c>
      <c r="B76" s="423" t="s">
        <v>548</v>
      </c>
      <c r="C76" s="423"/>
      <c r="D76" s="423"/>
      <c r="E76" s="423"/>
      <c r="F76" s="423"/>
      <c r="G76" s="423"/>
      <c r="H76" s="423"/>
      <c r="I76" s="423"/>
      <c r="J76" s="423"/>
      <c r="K76" s="423"/>
      <c r="L76" s="423"/>
      <c r="M76" s="423"/>
      <c r="N76" s="423"/>
      <c r="O76" s="1"/>
      <c r="P76" s="40"/>
    </row>
    <row r="77" spans="1:17" ht="20.149999999999999" hidden="1" customHeight="1" x14ac:dyDescent="0.35">
      <c r="A77" s="104" t="s">
        <v>488</v>
      </c>
      <c r="B77" s="422" t="s">
        <v>529</v>
      </c>
      <c r="C77" s="422"/>
      <c r="D77" s="422"/>
      <c r="E77" s="422"/>
      <c r="F77" s="422"/>
      <c r="G77" s="422"/>
      <c r="H77" s="422"/>
      <c r="I77" s="422"/>
      <c r="J77" s="422"/>
      <c r="K77" s="422"/>
      <c r="L77" s="422"/>
      <c r="M77" s="422"/>
      <c r="N77" s="422"/>
      <c r="O77" s="1"/>
      <c r="P77" s="40" t="s">
        <v>222</v>
      </c>
    </row>
    <row r="78" spans="1:17" ht="20.149999999999999" hidden="1" customHeight="1" x14ac:dyDescent="0.35">
      <c r="A78" s="104" t="s">
        <v>489</v>
      </c>
      <c r="B78" s="422" t="s">
        <v>1445</v>
      </c>
      <c r="C78" s="422"/>
      <c r="D78" s="422"/>
      <c r="E78" s="422"/>
      <c r="F78" s="422"/>
      <c r="G78" s="422"/>
      <c r="H78" s="422"/>
      <c r="I78" s="422"/>
      <c r="J78" s="422"/>
      <c r="K78" s="422"/>
      <c r="L78" s="422"/>
      <c r="M78" s="422"/>
      <c r="N78" s="422"/>
      <c r="O78" s="1"/>
      <c r="P78" s="40" t="s">
        <v>248</v>
      </c>
    </row>
    <row r="79" spans="1:17" ht="20.149999999999999" hidden="1" customHeight="1" x14ac:dyDescent="0.35">
      <c r="A79" s="104" t="s">
        <v>490</v>
      </c>
      <c r="B79" s="422" t="s">
        <v>579</v>
      </c>
      <c r="C79" s="422"/>
      <c r="D79" s="422"/>
      <c r="E79" s="422"/>
      <c r="F79" s="422"/>
      <c r="G79" s="422"/>
      <c r="H79" s="422"/>
      <c r="I79" s="422"/>
      <c r="J79" s="422"/>
      <c r="K79" s="422"/>
      <c r="L79" s="422"/>
      <c r="M79" s="422"/>
      <c r="N79" s="422"/>
      <c r="O79" s="1"/>
      <c r="P79" s="40" t="s">
        <v>222</v>
      </c>
      <c r="Q79" s="109" t="s">
        <v>557</v>
      </c>
    </row>
    <row r="80" spans="1:17" ht="20.149999999999999" hidden="1" customHeight="1" x14ac:dyDescent="0.35">
      <c r="A80" s="104" t="s">
        <v>491</v>
      </c>
      <c r="B80" s="422"/>
      <c r="C80" s="422"/>
      <c r="D80" s="422"/>
      <c r="E80" s="422"/>
      <c r="F80" s="422"/>
      <c r="G80" s="422"/>
      <c r="H80" s="422"/>
      <c r="I80" s="422"/>
      <c r="J80" s="422"/>
      <c r="K80" s="422"/>
      <c r="L80" s="422"/>
      <c r="M80" s="422"/>
      <c r="N80" s="422"/>
      <c r="O80" s="1"/>
      <c r="P80" s="40" t="s">
        <v>222</v>
      </c>
    </row>
    <row r="81" spans="1:18" ht="20.149999999999999" hidden="1" customHeight="1" x14ac:dyDescent="0.35">
      <c r="A81" s="104" t="s">
        <v>492</v>
      </c>
      <c r="B81" s="422"/>
      <c r="C81" s="422"/>
      <c r="D81" s="422"/>
      <c r="E81" s="422"/>
      <c r="F81" s="422"/>
      <c r="G81" s="422"/>
      <c r="H81" s="422"/>
      <c r="I81" s="422"/>
      <c r="J81" s="422"/>
      <c r="K81" s="422"/>
      <c r="L81" s="422"/>
      <c r="M81" s="422"/>
      <c r="N81" s="422"/>
      <c r="O81" s="1"/>
      <c r="P81" s="40" t="s">
        <v>229</v>
      </c>
    </row>
    <row r="82" spans="1:18" ht="20.149999999999999" hidden="1" customHeight="1" x14ac:dyDescent="0.35">
      <c r="A82" s="104" t="s">
        <v>493</v>
      </c>
      <c r="B82" s="422"/>
      <c r="C82" s="422"/>
      <c r="D82" s="422"/>
      <c r="E82" s="422"/>
      <c r="F82" s="422"/>
      <c r="G82" s="422"/>
      <c r="H82" s="422"/>
      <c r="I82" s="422"/>
      <c r="J82" s="422"/>
      <c r="K82" s="422"/>
      <c r="L82" s="422"/>
      <c r="M82" s="422"/>
      <c r="N82" s="422"/>
      <c r="O82" s="1"/>
      <c r="P82" s="40" t="s">
        <v>221</v>
      </c>
    </row>
    <row r="83" spans="1:18" ht="20.149999999999999" hidden="1" customHeight="1" x14ac:dyDescent="0.35">
      <c r="A83" s="104" t="s">
        <v>494</v>
      </c>
      <c r="B83" s="421"/>
      <c r="C83" s="421"/>
      <c r="D83" s="421"/>
      <c r="E83" s="421"/>
      <c r="F83" s="421"/>
      <c r="G83" s="421"/>
      <c r="H83" s="421"/>
      <c r="I83" s="421"/>
      <c r="J83" s="421"/>
      <c r="K83" s="421"/>
      <c r="L83" s="421"/>
      <c r="M83" s="421"/>
      <c r="N83" s="421"/>
      <c r="O83" s="1"/>
      <c r="P83" s="40" t="s">
        <v>221</v>
      </c>
    </row>
    <row r="84" spans="1:18" ht="20.149999999999999" hidden="1" customHeight="1" x14ac:dyDescent="0.35">
      <c r="A84" s="104" t="s">
        <v>495</v>
      </c>
      <c r="B84" s="421" t="s">
        <v>1723</v>
      </c>
      <c r="C84" s="421"/>
      <c r="D84" s="421"/>
      <c r="E84" s="421"/>
      <c r="F84" s="421"/>
      <c r="G84" s="421"/>
      <c r="H84" s="421"/>
      <c r="I84" s="421"/>
      <c r="J84" s="421"/>
      <c r="K84" s="421"/>
      <c r="L84" s="421"/>
      <c r="M84" s="421"/>
      <c r="N84" s="421"/>
      <c r="O84" s="1"/>
      <c r="P84" s="40" t="s">
        <v>221</v>
      </c>
    </row>
    <row r="85" spans="1:18" ht="20.149999999999999" hidden="1" customHeight="1" x14ac:dyDescent="0.35">
      <c r="A85" s="104" t="s">
        <v>496</v>
      </c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422"/>
      <c r="M85" s="422"/>
      <c r="N85" s="422"/>
      <c r="O85" s="1"/>
      <c r="P85" s="40" t="s">
        <v>221</v>
      </c>
    </row>
    <row r="86" spans="1:18" ht="20.149999999999999" hidden="1" customHeight="1" x14ac:dyDescent="0.35">
      <c r="A86" s="104" t="s">
        <v>497</v>
      </c>
      <c r="B86" s="422"/>
      <c r="C86" s="422"/>
      <c r="D86" s="422"/>
      <c r="E86" s="422"/>
      <c r="F86" s="422"/>
      <c r="G86" s="422"/>
      <c r="H86" s="422"/>
      <c r="I86" s="422"/>
      <c r="J86" s="422"/>
      <c r="K86" s="422"/>
      <c r="L86" s="422"/>
      <c r="M86" s="422"/>
      <c r="N86" s="422"/>
      <c r="O86" s="1"/>
      <c r="P86" s="1"/>
    </row>
    <row r="87" spans="1:18" ht="20.149999999999999" hidden="1" customHeight="1" x14ac:dyDescent="0.35">
      <c r="A87" s="104" t="s">
        <v>498</v>
      </c>
      <c r="B87" s="422" t="s">
        <v>1389</v>
      </c>
      <c r="C87" s="422"/>
      <c r="D87" s="422"/>
      <c r="E87" s="422"/>
      <c r="F87" s="422"/>
      <c r="G87" s="422"/>
      <c r="H87" s="422"/>
      <c r="I87" s="422"/>
      <c r="J87" s="422"/>
      <c r="K87" s="422"/>
      <c r="L87" s="422"/>
      <c r="M87" s="422"/>
      <c r="N87" s="422"/>
      <c r="O87" s="1"/>
      <c r="P87" s="40"/>
      <c r="Q87">
        <v>92389425</v>
      </c>
      <c r="R87" t="s">
        <v>519</v>
      </c>
    </row>
    <row r="88" spans="1:18" ht="20.149999999999999" hidden="1" customHeight="1" x14ac:dyDescent="0.35">
      <c r="A88" s="104" t="s">
        <v>499</v>
      </c>
      <c r="B88" s="421" t="s">
        <v>546</v>
      </c>
      <c r="C88" s="421"/>
      <c r="D88" s="421"/>
      <c r="E88" s="421"/>
      <c r="F88" s="421"/>
      <c r="G88" s="421"/>
      <c r="H88" s="421"/>
      <c r="I88" s="421"/>
      <c r="J88" s="421"/>
      <c r="K88" s="421"/>
      <c r="L88" s="421"/>
      <c r="M88" s="421"/>
      <c r="N88" s="421"/>
      <c r="O88" s="4"/>
      <c r="P88" s="40" t="s">
        <v>220</v>
      </c>
    </row>
    <row r="89" spans="1:18" ht="20.149999999999999" hidden="1" customHeight="1" x14ac:dyDescent="0.35">
      <c r="A89" s="104" t="s">
        <v>500</v>
      </c>
      <c r="B89" s="426" t="s">
        <v>574</v>
      </c>
      <c r="C89" s="426"/>
      <c r="D89" s="426"/>
      <c r="E89" s="426"/>
      <c r="F89" s="426"/>
      <c r="G89" s="426"/>
      <c r="H89" s="426"/>
      <c r="I89" s="426"/>
      <c r="J89" s="426"/>
      <c r="K89" s="426"/>
      <c r="L89" s="426"/>
      <c r="M89" s="426"/>
      <c r="N89" s="426"/>
      <c r="O89" s="1"/>
      <c r="P89" s="40" t="s">
        <v>220</v>
      </c>
    </row>
    <row r="90" spans="1:18" ht="20.149999999999999" hidden="1" customHeight="1" x14ac:dyDescent="0.35">
      <c r="A90" s="104" t="s">
        <v>501</v>
      </c>
      <c r="B90" s="434" t="s">
        <v>540</v>
      </c>
      <c r="C90" s="435"/>
      <c r="D90" s="435"/>
      <c r="E90" s="435"/>
      <c r="F90" s="435"/>
      <c r="G90" s="435"/>
      <c r="H90" s="435"/>
      <c r="I90" s="435"/>
      <c r="J90" s="435"/>
      <c r="K90" s="435"/>
      <c r="L90" s="435"/>
      <c r="M90" s="435"/>
      <c r="N90" s="436"/>
      <c r="O90" s="1"/>
      <c r="P90" s="40" t="s">
        <v>220</v>
      </c>
    </row>
    <row r="91" spans="1:18" ht="20.149999999999999" hidden="1" customHeight="1" x14ac:dyDescent="0.35">
      <c r="A91" s="104" t="s">
        <v>502</v>
      </c>
      <c r="B91" s="422" t="s">
        <v>549</v>
      </c>
      <c r="C91" s="422"/>
      <c r="D91" s="422"/>
      <c r="E91" s="422"/>
      <c r="F91" s="422"/>
      <c r="G91" s="422"/>
      <c r="H91" s="422"/>
      <c r="I91" s="422"/>
      <c r="J91" s="422"/>
      <c r="K91" s="422"/>
      <c r="L91" s="422"/>
      <c r="M91" s="422"/>
      <c r="N91" s="422"/>
      <c r="O91" s="1"/>
      <c r="P91" s="40" t="s">
        <v>220</v>
      </c>
    </row>
    <row r="92" spans="1:18" ht="20.149999999999999" hidden="1" customHeight="1" x14ac:dyDescent="0.35">
      <c r="A92" s="104" t="s">
        <v>503</v>
      </c>
      <c r="B92" s="421" t="s">
        <v>1353</v>
      </c>
      <c r="C92" s="421"/>
      <c r="D92" s="421"/>
      <c r="E92" s="421"/>
      <c r="F92" s="421"/>
      <c r="G92" s="421"/>
      <c r="H92" s="421"/>
      <c r="I92" s="421"/>
      <c r="J92" s="421"/>
      <c r="K92" s="421"/>
      <c r="L92" s="421"/>
      <c r="M92" s="421"/>
      <c r="N92" s="421"/>
      <c r="O92" s="1"/>
      <c r="P92" s="40" t="s">
        <v>220</v>
      </c>
    </row>
    <row r="93" spans="1:18" ht="20.149999999999999" hidden="1" customHeight="1" x14ac:dyDescent="0.35">
      <c r="A93" s="104" t="s">
        <v>504</v>
      </c>
      <c r="B93" s="421"/>
      <c r="C93" s="421"/>
      <c r="D93" s="421"/>
      <c r="E93" s="421"/>
      <c r="F93" s="421"/>
      <c r="G93" s="421"/>
      <c r="H93" s="421"/>
      <c r="I93" s="421"/>
      <c r="J93" s="421"/>
      <c r="K93" s="421"/>
      <c r="L93" s="421"/>
      <c r="M93" s="421"/>
      <c r="N93" s="421"/>
      <c r="O93" s="40" t="s">
        <v>223</v>
      </c>
      <c r="P93" s="40" t="s">
        <v>220</v>
      </c>
    </row>
    <row r="94" spans="1:18" ht="20.149999999999999" hidden="1" customHeight="1" x14ac:dyDescent="0.35">
      <c r="A94" s="104" t="s">
        <v>505</v>
      </c>
      <c r="B94" s="429" t="s">
        <v>1380</v>
      </c>
      <c r="C94" s="421"/>
      <c r="D94" s="421"/>
      <c r="E94" s="421"/>
      <c r="F94" s="421"/>
      <c r="G94" s="421"/>
      <c r="H94" s="421"/>
      <c r="I94" s="421"/>
      <c r="J94" s="421"/>
      <c r="K94" s="421"/>
      <c r="L94" s="421"/>
      <c r="M94" s="421"/>
      <c r="N94" s="421"/>
      <c r="O94" s="1"/>
      <c r="P94" s="40" t="s">
        <v>220</v>
      </c>
    </row>
    <row r="95" spans="1:18" ht="20.149999999999999" hidden="1" customHeight="1" x14ac:dyDescent="0.35">
      <c r="A95" s="104" t="s">
        <v>506</v>
      </c>
      <c r="B95" s="422" t="s">
        <v>1391</v>
      </c>
      <c r="C95" s="422"/>
      <c r="D95" s="422"/>
      <c r="E95" s="422"/>
      <c r="F95" s="422"/>
      <c r="G95" s="422"/>
      <c r="H95" s="422"/>
      <c r="I95" s="422"/>
      <c r="J95" s="422"/>
      <c r="K95" s="422"/>
      <c r="L95" s="422"/>
      <c r="M95" s="422"/>
      <c r="N95" s="422"/>
      <c r="O95" s="1"/>
      <c r="P95" s="40" t="s">
        <v>220</v>
      </c>
    </row>
    <row r="96" spans="1:18" ht="20.149999999999999" hidden="1" customHeight="1" x14ac:dyDescent="0.35">
      <c r="A96" s="104" t="s">
        <v>507</v>
      </c>
      <c r="B96" s="426" t="s">
        <v>1302</v>
      </c>
      <c r="C96" s="426"/>
      <c r="D96" s="426"/>
      <c r="E96" s="426"/>
      <c r="F96" s="426"/>
      <c r="G96" s="426"/>
      <c r="H96" s="426"/>
      <c r="I96" s="426"/>
      <c r="J96" s="426"/>
      <c r="K96" s="426"/>
      <c r="L96" s="426"/>
      <c r="M96" s="426"/>
      <c r="N96" s="426"/>
      <c r="O96" s="1"/>
      <c r="P96" s="40" t="s">
        <v>220</v>
      </c>
    </row>
    <row r="97" spans="1:16" ht="20.149999999999999" hidden="1" customHeight="1" x14ac:dyDescent="0.35">
      <c r="A97" s="104" t="s">
        <v>508</v>
      </c>
      <c r="B97" s="422"/>
      <c r="C97" s="422"/>
      <c r="D97" s="422"/>
      <c r="E97" s="422"/>
      <c r="F97" s="422"/>
      <c r="G97" s="422"/>
      <c r="H97" s="422"/>
      <c r="I97" s="422"/>
      <c r="J97" s="422"/>
      <c r="K97" s="422"/>
      <c r="L97" s="422"/>
      <c r="M97" s="422"/>
      <c r="N97" s="422"/>
      <c r="O97" s="1"/>
      <c r="P97" s="1"/>
    </row>
    <row r="98" spans="1:16" ht="20.149999999999999" hidden="1" customHeight="1" x14ac:dyDescent="0.35">
      <c r="A98" s="104" t="s">
        <v>509</v>
      </c>
      <c r="B98" s="422" t="s">
        <v>1322</v>
      </c>
      <c r="C98" s="422"/>
      <c r="D98" s="422"/>
      <c r="E98" s="422"/>
      <c r="F98" s="422"/>
      <c r="G98" s="422"/>
      <c r="H98" s="422"/>
      <c r="I98" s="422"/>
      <c r="J98" s="422"/>
      <c r="K98" s="422"/>
      <c r="L98" s="422"/>
      <c r="M98" s="422"/>
      <c r="N98" s="422"/>
      <c r="O98" s="1"/>
      <c r="P98" s="40" t="s">
        <v>220</v>
      </c>
    </row>
    <row r="99" spans="1:16" ht="20.149999999999999" hidden="1" customHeight="1" x14ac:dyDescent="0.35">
      <c r="A99" s="104" t="s">
        <v>510</v>
      </c>
      <c r="B99" s="422" t="s">
        <v>413</v>
      </c>
      <c r="C99" s="422"/>
      <c r="D99" s="422"/>
      <c r="E99" s="422"/>
      <c r="F99" s="422"/>
      <c r="G99" s="422"/>
      <c r="H99" s="422"/>
      <c r="I99" s="422"/>
      <c r="J99" s="422"/>
      <c r="K99" s="422"/>
      <c r="L99" s="422"/>
      <c r="M99" s="422"/>
      <c r="N99" s="422"/>
      <c r="O99" s="1"/>
      <c r="P99" s="40" t="s">
        <v>220</v>
      </c>
    </row>
    <row r="100" spans="1:16" ht="20.149999999999999" hidden="1" customHeight="1" x14ac:dyDescent="0.35">
      <c r="A100" s="104" t="s">
        <v>511</v>
      </c>
      <c r="B100" s="422"/>
      <c r="C100" s="422"/>
      <c r="D100" s="422"/>
      <c r="E100" s="422"/>
      <c r="F100" s="422"/>
      <c r="G100" s="422"/>
      <c r="H100" s="422"/>
      <c r="I100" s="422"/>
      <c r="J100" s="422"/>
      <c r="K100" s="422"/>
      <c r="L100" s="422"/>
      <c r="M100" s="422"/>
      <c r="N100" s="422"/>
      <c r="O100" s="1"/>
      <c r="P100" s="40" t="s">
        <v>220</v>
      </c>
    </row>
    <row r="101" spans="1:16" ht="20.149999999999999" hidden="1" customHeight="1" x14ac:dyDescent="0.35">
      <c r="A101" s="104" t="s">
        <v>512</v>
      </c>
      <c r="B101" s="422"/>
      <c r="C101" s="422"/>
      <c r="D101" s="422"/>
      <c r="E101" s="422"/>
      <c r="F101" s="422"/>
      <c r="G101" s="422"/>
      <c r="H101" s="422"/>
      <c r="I101" s="422"/>
      <c r="J101" s="422"/>
      <c r="K101" s="422"/>
      <c r="L101" s="422"/>
      <c r="M101" s="422"/>
      <c r="N101" s="422"/>
      <c r="O101" s="1"/>
      <c r="P101" s="1"/>
    </row>
    <row r="102" spans="1:16" ht="20.149999999999999" hidden="1" customHeight="1" x14ac:dyDescent="0.35">
      <c r="A102" s="104" t="s">
        <v>513</v>
      </c>
      <c r="B102" s="422" t="s">
        <v>1299</v>
      </c>
      <c r="C102" s="422"/>
      <c r="D102" s="422"/>
      <c r="E102" s="422"/>
      <c r="F102" s="422"/>
      <c r="G102" s="422"/>
      <c r="H102" s="422"/>
      <c r="I102" s="422"/>
      <c r="J102" s="422"/>
      <c r="K102" s="422"/>
      <c r="L102" s="422"/>
      <c r="M102" s="422"/>
      <c r="N102" s="422"/>
      <c r="O102" s="1"/>
      <c r="P102" s="1"/>
    </row>
    <row r="103" spans="1:16" ht="20.149999999999999" hidden="1" customHeight="1" x14ac:dyDescent="0.35">
      <c r="A103" s="104" t="s">
        <v>514</v>
      </c>
      <c r="B103" s="422" t="s">
        <v>539</v>
      </c>
      <c r="C103" s="422"/>
      <c r="D103" s="422"/>
      <c r="E103" s="422"/>
      <c r="F103" s="422"/>
      <c r="G103" s="422"/>
      <c r="H103" s="422"/>
      <c r="I103" s="422"/>
      <c r="J103" s="422"/>
      <c r="K103" s="422"/>
      <c r="L103" s="422"/>
      <c r="M103" s="422"/>
      <c r="N103" s="422"/>
      <c r="O103" s="1"/>
      <c r="P103" s="1"/>
    </row>
    <row r="104" spans="1:16" ht="20.149999999999999" hidden="1" customHeight="1" x14ac:dyDescent="0.35">
      <c r="A104" s="104" t="s">
        <v>515</v>
      </c>
      <c r="B104" s="422"/>
      <c r="C104" s="422"/>
      <c r="D104" s="422"/>
      <c r="E104" s="422"/>
      <c r="F104" s="422"/>
      <c r="G104" s="422"/>
      <c r="H104" s="422"/>
      <c r="I104" s="422"/>
      <c r="J104" s="422"/>
      <c r="K104" s="422"/>
      <c r="L104" s="422"/>
      <c r="M104" s="422"/>
      <c r="N104" s="422"/>
      <c r="O104" s="1"/>
      <c r="P104" s="40"/>
    </row>
    <row r="105" spans="1:16" ht="20.149999999999999" hidden="1" customHeight="1" x14ac:dyDescent="0.35">
      <c r="A105" s="105" t="s">
        <v>518</v>
      </c>
      <c r="B105" s="422" t="s">
        <v>1223</v>
      </c>
      <c r="C105" s="422"/>
      <c r="D105" s="422"/>
      <c r="E105" s="422"/>
      <c r="F105" s="422"/>
      <c r="G105" s="422"/>
      <c r="H105" s="422"/>
      <c r="I105" s="422"/>
      <c r="J105" s="422"/>
      <c r="K105" s="422"/>
      <c r="L105" s="422"/>
      <c r="M105" s="422"/>
      <c r="N105" s="422"/>
      <c r="O105" s="1"/>
      <c r="P105" s="1"/>
    </row>
    <row r="106" spans="1:16" ht="20.149999999999999" hidden="1" customHeight="1" x14ac:dyDescent="0.35">
      <c r="A106" s="105" t="s">
        <v>521</v>
      </c>
      <c r="B106" s="422" t="s">
        <v>1481</v>
      </c>
      <c r="C106" s="422"/>
      <c r="D106" s="422"/>
      <c r="E106" s="422"/>
      <c r="F106" s="422"/>
      <c r="G106" s="422"/>
      <c r="H106" s="422"/>
      <c r="I106" s="422"/>
      <c r="J106" s="422"/>
      <c r="K106" s="422"/>
      <c r="L106" s="422"/>
      <c r="M106" s="422"/>
      <c r="N106" s="422"/>
      <c r="O106" s="1"/>
      <c r="P106" s="1"/>
    </row>
    <row r="107" spans="1:16" ht="20.149999999999999" hidden="1" customHeight="1" x14ac:dyDescent="0.35">
      <c r="A107" s="105" t="s">
        <v>523</v>
      </c>
      <c r="B107" s="422"/>
      <c r="C107" s="422"/>
      <c r="D107" s="422"/>
      <c r="E107" s="422"/>
      <c r="F107" s="422"/>
      <c r="G107" s="422"/>
      <c r="H107" s="422"/>
      <c r="I107" s="422"/>
      <c r="J107" s="422"/>
      <c r="K107" s="422"/>
      <c r="L107" s="422"/>
      <c r="M107" s="422"/>
      <c r="N107" s="422"/>
      <c r="O107" s="1"/>
      <c r="P107" s="1"/>
    </row>
    <row r="108" spans="1:16" ht="20.149999999999999" hidden="1" customHeight="1" x14ac:dyDescent="0.35">
      <c r="A108" s="105" t="s">
        <v>530</v>
      </c>
      <c r="B108" s="422" t="s">
        <v>534</v>
      </c>
      <c r="C108" s="422"/>
      <c r="D108" s="422"/>
      <c r="E108" s="422"/>
      <c r="F108" s="422"/>
      <c r="G108" s="422"/>
      <c r="H108" s="422"/>
      <c r="I108" s="422"/>
      <c r="J108" s="422"/>
      <c r="K108" s="422"/>
      <c r="L108" s="422"/>
      <c r="M108" s="422"/>
      <c r="N108" s="422"/>
      <c r="O108" s="1" t="s">
        <v>526</v>
      </c>
      <c r="P108" s="1"/>
    </row>
    <row r="109" spans="1:16" ht="20.149999999999999" hidden="1" customHeight="1" x14ac:dyDescent="0.35">
      <c r="A109" s="105" t="s">
        <v>541</v>
      </c>
      <c r="B109" s="422" t="s">
        <v>542</v>
      </c>
      <c r="C109" s="422"/>
      <c r="D109" s="422"/>
      <c r="E109" s="422"/>
      <c r="F109" s="422"/>
      <c r="G109" s="422"/>
      <c r="H109" s="422"/>
      <c r="I109" s="422"/>
      <c r="J109" s="422"/>
      <c r="K109" s="422"/>
      <c r="L109" s="422"/>
      <c r="M109" s="422"/>
      <c r="N109" s="422"/>
      <c r="O109" s="1"/>
      <c r="P109" s="1"/>
    </row>
    <row r="110" spans="1:16" hidden="1" x14ac:dyDescent="0.35">
      <c r="A110" s="105" t="s">
        <v>575</v>
      </c>
      <c r="B110" s="428" t="s">
        <v>576</v>
      </c>
      <c r="C110" s="428"/>
      <c r="D110" s="428"/>
      <c r="E110" s="428"/>
      <c r="F110" s="428"/>
      <c r="G110" s="428"/>
      <c r="H110" s="428"/>
      <c r="I110" s="428"/>
      <c r="J110" s="428"/>
      <c r="K110" s="428"/>
      <c r="L110" s="428"/>
      <c r="M110" s="428"/>
      <c r="N110" s="428"/>
    </row>
    <row r="111" spans="1:16" hidden="1" x14ac:dyDescent="0.35">
      <c r="A111" s="136" t="s">
        <v>580</v>
      </c>
      <c r="B111" s="428" t="s">
        <v>1369</v>
      </c>
      <c r="C111" s="428"/>
      <c r="D111" s="428"/>
      <c r="E111" s="428"/>
      <c r="F111" s="428"/>
      <c r="G111" s="428"/>
      <c r="H111" s="428"/>
      <c r="I111" s="428"/>
      <c r="J111" s="428"/>
      <c r="K111" s="428"/>
      <c r="L111" s="428"/>
      <c r="M111" s="428"/>
      <c r="N111" s="428"/>
    </row>
    <row r="112" spans="1:16" hidden="1" x14ac:dyDescent="0.35">
      <c r="A112" s="136" t="s">
        <v>581</v>
      </c>
      <c r="B112" s="428" t="s">
        <v>582</v>
      </c>
      <c r="C112" s="428"/>
      <c r="D112" s="428"/>
      <c r="E112" s="428"/>
      <c r="F112" s="428"/>
      <c r="G112" s="428"/>
      <c r="H112" s="428"/>
      <c r="I112" s="428"/>
      <c r="J112" s="428"/>
      <c r="K112" s="428"/>
      <c r="L112" s="428"/>
      <c r="M112" s="428"/>
      <c r="N112" s="428"/>
    </row>
    <row r="113" spans="1:16" ht="20.149999999999999" hidden="1" customHeight="1" x14ac:dyDescent="0.35">
      <c r="A113" s="104" t="s">
        <v>600</v>
      </c>
      <c r="B113" s="422" t="s">
        <v>1326</v>
      </c>
      <c r="C113" s="422"/>
      <c r="D113" s="422"/>
      <c r="E113" s="422"/>
      <c r="F113" s="422"/>
      <c r="G113" s="422"/>
      <c r="H113" s="422"/>
      <c r="I113" s="422"/>
      <c r="J113" s="422"/>
      <c r="K113" s="422"/>
      <c r="L113" s="422"/>
      <c r="M113" s="422"/>
      <c r="N113" s="422"/>
      <c r="O113" s="1"/>
      <c r="P113" s="40" t="s">
        <v>219</v>
      </c>
    </row>
    <row r="114" spans="1:16" ht="20.149999999999999" hidden="1" customHeight="1" x14ac:dyDescent="0.35">
      <c r="A114" s="104" t="s">
        <v>601</v>
      </c>
      <c r="B114" s="422" t="s">
        <v>602</v>
      </c>
      <c r="C114" s="422"/>
      <c r="D114" s="422"/>
      <c r="E114" s="422"/>
      <c r="F114" s="422"/>
      <c r="G114" s="422"/>
      <c r="H114" s="422"/>
      <c r="I114" s="422"/>
      <c r="J114" s="422"/>
      <c r="K114" s="422"/>
      <c r="L114" s="422"/>
      <c r="M114" s="422"/>
      <c r="N114" s="422"/>
      <c r="O114" s="1"/>
      <c r="P114" s="40" t="s">
        <v>219</v>
      </c>
    </row>
    <row r="115" spans="1:16" hidden="1" x14ac:dyDescent="0.35">
      <c r="A115" s="136" t="s">
        <v>604</v>
      </c>
      <c r="B115" s="422"/>
      <c r="C115" s="422"/>
      <c r="D115" s="422"/>
      <c r="E115" s="422"/>
      <c r="F115" s="422"/>
      <c r="G115" s="422"/>
      <c r="H115" s="422"/>
      <c r="I115" s="422"/>
      <c r="J115" s="422"/>
      <c r="K115" s="422"/>
      <c r="L115" s="422"/>
      <c r="M115" s="422"/>
      <c r="N115" s="422"/>
    </row>
    <row r="116" spans="1:16" hidden="1" x14ac:dyDescent="0.35">
      <c r="A116" s="136" t="s">
        <v>606</v>
      </c>
      <c r="B116" s="421" t="s">
        <v>1759</v>
      </c>
      <c r="C116" s="421"/>
      <c r="D116" s="421"/>
      <c r="E116" s="421"/>
      <c r="F116" s="421"/>
      <c r="G116" s="421"/>
      <c r="H116" s="421"/>
      <c r="I116" s="421"/>
      <c r="J116" s="421"/>
      <c r="K116" s="421"/>
      <c r="L116" s="421"/>
      <c r="M116" s="421"/>
      <c r="N116" s="421"/>
    </row>
    <row r="117" spans="1:16" hidden="1" x14ac:dyDescent="0.35">
      <c r="B117" s="421"/>
      <c r="C117" s="421"/>
      <c r="D117" s="421"/>
      <c r="E117" s="421"/>
      <c r="F117" s="421"/>
      <c r="G117" s="421"/>
      <c r="H117" s="421"/>
      <c r="I117" s="421"/>
      <c r="J117" s="421"/>
      <c r="K117" s="421"/>
      <c r="L117" s="421"/>
      <c r="M117" s="421"/>
      <c r="N117" s="421"/>
    </row>
    <row r="118" spans="1:16" hidden="1" x14ac:dyDescent="0.35">
      <c r="A118" s="136" t="s">
        <v>610</v>
      </c>
      <c r="B118" s="428"/>
      <c r="C118" s="428"/>
      <c r="D118" s="428"/>
      <c r="E118" s="428"/>
      <c r="F118" s="428"/>
      <c r="G118" s="428"/>
      <c r="H118" s="428"/>
      <c r="I118" s="428"/>
      <c r="J118" s="428"/>
      <c r="K118" s="428"/>
      <c r="L118" s="428"/>
      <c r="M118" s="428"/>
      <c r="N118" s="428"/>
    </row>
    <row r="119" spans="1:16" hidden="1" x14ac:dyDescent="0.35">
      <c r="A119" s="136" t="s">
        <v>701</v>
      </c>
      <c r="B119" s="428"/>
      <c r="C119" s="428"/>
      <c r="D119" s="428"/>
      <c r="E119" s="428"/>
      <c r="F119" s="428"/>
      <c r="G119" s="428"/>
      <c r="H119" s="428"/>
      <c r="I119" s="428"/>
      <c r="J119" s="428"/>
      <c r="K119" s="428"/>
      <c r="L119" s="428"/>
      <c r="M119" s="428"/>
      <c r="N119" s="428"/>
    </row>
    <row r="120" spans="1:16" hidden="1" x14ac:dyDescent="0.35">
      <c r="A120" s="136" t="s">
        <v>717</v>
      </c>
      <c r="B120" s="428" t="s">
        <v>793</v>
      </c>
      <c r="C120" s="428"/>
      <c r="D120" s="428"/>
      <c r="E120" s="428"/>
      <c r="F120" s="428"/>
      <c r="G120" s="428"/>
      <c r="H120" s="428"/>
      <c r="I120" s="428"/>
      <c r="J120" s="428"/>
      <c r="K120" s="428"/>
      <c r="L120" s="428"/>
      <c r="M120" s="428"/>
      <c r="N120" s="428"/>
    </row>
    <row r="121" spans="1:16" hidden="1" x14ac:dyDescent="0.35">
      <c r="A121" s="259"/>
      <c r="B121" s="422"/>
      <c r="C121" s="422"/>
      <c r="D121" s="422"/>
      <c r="E121" s="422"/>
      <c r="F121" s="422"/>
      <c r="G121" s="422"/>
      <c r="H121" s="422"/>
      <c r="I121" s="422"/>
      <c r="J121" s="422"/>
      <c r="K121" s="422"/>
      <c r="L121" s="422"/>
      <c r="M121" s="422"/>
      <c r="N121" s="422"/>
    </row>
    <row r="122" spans="1:16" hidden="1" x14ac:dyDescent="0.35">
      <c r="A122" s="136" t="s">
        <v>729</v>
      </c>
      <c r="B122" s="428"/>
      <c r="C122" s="428"/>
      <c r="D122" s="428"/>
      <c r="E122" s="428"/>
      <c r="F122" s="428"/>
      <c r="G122" s="428"/>
      <c r="H122" s="428"/>
      <c r="I122" s="428"/>
      <c r="J122" s="428"/>
      <c r="K122" s="428"/>
      <c r="L122" s="428"/>
      <c r="M122" s="428"/>
      <c r="N122" s="428"/>
    </row>
    <row r="123" spans="1:16" hidden="1" x14ac:dyDescent="0.35">
      <c r="A123" s="136" t="s">
        <v>742</v>
      </c>
      <c r="B123" s="428"/>
      <c r="C123" s="428"/>
      <c r="D123" s="428"/>
      <c r="E123" s="428"/>
      <c r="F123" s="428"/>
      <c r="G123" s="428"/>
      <c r="H123" s="428"/>
      <c r="I123" s="428"/>
      <c r="J123" s="428"/>
      <c r="K123" s="428"/>
      <c r="L123" s="428"/>
      <c r="M123" s="428"/>
      <c r="N123" s="428"/>
    </row>
    <row r="124" spans="1:16" hidden="1" x14ac:dyDescent="0.35">
      <c r="A124" s="136"/>
      <c r="B124" s="428"/>
      <c r="C124" s="428"/>
      <c r="D124" s="428"/>
      <c r="E124" s="428"/>
      <c r="F124" s="428"/>
      <c r="G124" s="428"/>
      <c r="H124" s="428"/>
      <c r="I124" s="428"/>
      <c r="J124" s="428"/>
      <c r="K124" s="428"/>
      <c r="L124" s="428"/>
      <c r="M124" s="428"/>
      <c r="N124" s="428"/>
    </row>
    <row r="125" spans="1:16" hidden="1" x14ac:dyDescent="0.35">
      <c r="A125" s="136" t="s">
        <v>760</v>
      </c>
      <c r="B125" s="428" t="s">
        <v>792</v>
      </c>
      <c r="C125" s="428"/>
      <c r="D125" s="428"/>
      <c r="E125" s="428"/>
      <c r="F125" s="428"/>
      <c r="G125" s="428"/>
      <c r="H125" s="428"/>
      <c r="I125" s="428"/>
      <c r="J125" s="428"/>
      <c r="K125" s="428"/>
      <c r="L125" s="428"/>
      <c r="M125" s="428"/>
      <c r="N125" s="428"/>
    </row>
    <row r="126" spans="1:16" hidden="1" x14ac:dyDescent="0.35">
      <c r="A126" s="136"/>
      <c r="B126" s="421"/>
      <c r="C126" s="421"/>
      <c r="D126" s="421"/>
      <c r="E126" s="421"/>
      <c r="F126" s="421"/>
      <c r="G126" s="421"/>
      <c r="H126" s="421"/>
      <c r="I126" s="421"/>
      <c r="J126" s="421"/>
      <c r="K126" s="421"/>
      <c r="L126" s="421"/>
      <c r="M126" s="421"/>
      <c r="N126" s="421"/>
    </row>
    <row r="127" spans="1:16" hidden="1" x14ac:dyDescent="0.35">
      <c r="A127" s="136" t="s">
        <v>789</v>
      </c>
      <c r="B127" s="422" t="s">
        <v>791</v>
      </c>
      <c r="C127" s="422"/>
      <c r="D127" s="422"/>
      <c r="E127" s="422"/>
      <c r="F127" s="422"/>
      <c r="G127" s="422"/>
      <c r="H127" s="422"/>
      <c r="I127" s="422"/>
      <c r="J127" s="422"/>
      <c r="K127" s="422"/>
      <c r="L127" s="422"/>
      <c r="M127" s="422"/>
      <c r="N127" s="422"/>
    </row>
    <row r="128" spans="1:16" hidden="1" x14ac:dyDescent="0.35">
      <c r="A128" s="136" t="s">
        <v>1176</v>
      </c>
      <c r="B128" s="422" t="s">
        <v>1177</v>
      </c>
      <c r="C128" s="422"/>
      <c r="D128" s="422"/>
      <c r="E128" s="422"/>
      <c r="F128" s="422"/>
      <c r="G128" s="422"/>
      <c r="H128" s="422"/>
      <c r="I128" s="422"/>
      <c r="J128" s="422"/>
      <c r="K128" s="422"/>
      <c r="L128" s="422"/>
      <c r="M128" s="422"/>
      <c r="N128" s="422"/>
    </row>
    <row r="129" spans="1:16" hidden="1" x14ac:dyDescent="0.35">
      <c r="A129" s="136" t="s">
        <v>1185</v>
      </c>
      <c r="B129" s="422" t="s">
        <v>1324</v>
      </c>
      <c r="C129" s="422"/>
      <c r="D129" s="422"/>
      <c r="E129" s="422"/>
      <c r="F129" s="422"/>
      <c r="G129" s="422"/>
      <c r="H129" s="422"/>
      <c r="I129" s="422"/>
      <c r="J129" s="422"/>
      <c r="K129" s="422"/>
      <c r="L129" s="422"/>
      <c r="M129" s="422"/>
      <c r="N129" s="422"/>
    </row>
    <row r="130" spans="1:16" hidden="1" x14ac:dyDescent="0.35">
      <c r="A130" s="136" t="s">
        <v>1188</v>
      </c>
      <c r="B130" s="421" t="s">
        <v>1189</v>
      </c>
      <c r="C130" s="421"/>
      <c r="D130" s="421"/>
      <c r="E130" s="421"/>
      <c r="F130" s="421"/>
      <c r="G130" s="421"/>
      <c r="H130" s="421"/>
      <c r="I130" s="421"/>
      <c r="J130" s="421"/>
      <c r="K130" s="421"/>
      <c r="L130" s="421"/>
      <c r="M130" s="421"/>
      <c r="N130" s="421"/>
    </row>
    <row r="131" spans="1:16" hidden="1" x14ac:dyDescent="0.35">
      <c r="A131" s="136" t="s">
        <v>1193</v>
      </c>
      <c r="B131" s="421"/>
      <c r="C131" s="421"/>
      <c r="D131" s="421"/>
      <c r="E131" s="421"/>
      <c r="F131" s="421"/>
      <c r="G131" s="421"/>
      <c r="H131" s="421"/>
      <c r="I131" s="421"/>
      <c r="J131" s="421"/>
      <c r="K131" s="421"/>
      <c r="L131" s="421"/>
      <c r="M131" s="421"/>
      <c r="N131" s="421"/>
    </row>
    <row r="132" spans="1:16" hidden="1" x14ac:dyDescent="0.35">
      <c r="A132" s="136" t="s">
        <v>1211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421"/>
      <c r="L132" s="421"/>
      <c r="M132" s="421"/>
      <c r="N132" s="421"/>
    </row>
    <row r="133" spans="1:16" hidden="1" x14ac:dyDescent="0.35">
      <c r="A133" s="136" t="s">
        <v>1238</v>
      </c>
      <c r="B133" s="421" t="s">
        <v>1239</v>
      </c>
      <c r="C133" s="421"/>
      <c r="D133" s="421"/>
      <c r="E133" s="421"/>
      <c r="F133" s="421"/>
      <c r="G133" s="421"/>
      <c r="H133" s="421"/>
      <c r="I133" s="421"/>
      <c r="J133" s="421"/>
      <c r="K133" s="421"/>
      <c r="L133" s="421"/>
      <c r="M133" s="421"/>
      <c r="N133" s="421"/>
    </row>
    <row r="134" spans="1:16" hidden="1" x14ac:dyDescent="0.35">
      <c r="A134" s="136" t="s">
        <v>1279</v>
      </c>
      <c r="B134" s="421" t="s">
        <v>1379</v>
      </c>
      <c r="C134" s="421"/>
      <c r="D134" s="421"/>
      <c r="E134" s="421"/>
      <c r="F134" s="421"/>
      <c r="G134" s="421"/>
      <c r="H134" s="421"/>
      <c r="I134" s="421"/>
      <c r="J134" s="421"/>
      <c r="K134" s="421"/>
      <c r="L134" s="421"/>
      <c r="M134" s="421"/>
      <c r="N134" s="421"/>
    </row>
    <row r="135" spans="1:16" ht="20.149999999999999" hidden="1" customHeight="1" x14ac:dyDescent="0.35">
      <c r="A135" s="104" t="s">
        <v>1288</v>
      </c>
      <c r="B135" s="422" t="s">
        <v>1289</v>
      </c>
      <c r="C135" s="422"/>
      <c r="D135" s="422"/>
      <c r="E135" s="422"/>
      <c r="F135" s="422"/>
      <c r="G135" s="422"/>
      <c r="H135" s="422"/>
      <c r="I135" s="422"/>
      <c r="J135" s="422"/>
      <c r="K135" s="422"/>
      <c r="L135" s="422"/>
      <c r="M135" s="422"/>
      <c r="N135" s="422"/>
      <c r="O135" s="1"/>
      <c r="P135" s="40" t="s">
        <v>219</v>
      </c>
    </row>
    <row r="136" spans="1:16" ht="20.149999999999999" hidden="1" customHeight="1" x14ac:dyDescent="0.35">
      <c r="A136" s="259" t="s">
        <v>1290</v>
      </c>
      <c r="B136" s="422" t="s">
        <v>1291</v>
      </c>
      <c r="C136" s="422"/>
      <c r="D136" s="422"/>
      <c r="E136" s="422"/>
      <c r="F136" s="422"/>
      <c r="G136" s="422"/>
      <c r="H136" s="422"/>
      <c r="I136" s="422"/>
      <c r="J136" s="422"/>
      <c r="K136" s="422"/>
      <c r="L136" s="422"/>
      <c r="M136" s="422"/>
      <c r="N136" s="422"/>
      <c r="O136" s="1"/>
      <c r="P136" s="40"/>
    </row>
    <row r="137" spans="1:16" hidden="1" x14ac:dyDescent="0.35">
      <c r="A137" s="259" t="s">
        <v>1294</v>
      </c>
      <c r="B137" s="422" t="s">
        <v>1295</v>
      </c>
      <c r="C137" s="422"/>
      <c r="D137" s="422"/>
      <c r="E137" s="422"/>
      <c r="F137" s="422"/>
      <c r="G137" s="422"/>
      <c r="H137" s="422"/>
      <c r="I137" s="422"/>
      <c r="J137" s="422"/>
      <c r="K137" s="422"/>
      <c r="L137" s="422"/>
      <c r="M137" s="422"/>
      <c r="N137" s="422"/>
      <c r="O137" s="1"/>
      <c r="P137" s="40" t="s">
        <v>219</v>
      </c>
    </row>
    <row r="138" spans="1:16" hidden="1" x14ac:dyDescent="0.35">
      <c r="A138" s="104" t="s">
        <v>1312</v>
      </c>
      <c r="B138" s="422" t="s">
        <v>1709</v>
      </c>
      <c r="C138" s="422"/>
      <c r="D138" s="422"/>
      <c r="E138" s="422"/>
      <c r="F138" s="422"/>
      <c r="G138" s="422"/>
      <c r="H138" s="422"/>
      <c r="I138" s="422"/>
      <c r="J138" s="422"/>
      <c r="K138" s="422"/>
      <c r="L138" s="422"/>
      <c r="M138" s="422"/>
      <c r="N138" s="422"/>
      <c r="P138" s="39"/>
    </row>
    <row r="139" spans="1:16" hidden="1" x14ac:dyDescent="0.35">
      <c r="A139" s="104" t="s">
        <v>1315</v>
      </c>
      <c r="B139" s="422" t="s">
        <v>1316</v>
      </c>
      <c r="C139" s="422"/>
      <c r="D139" s="422"/>
      <c r="E139" s="422"/>
      <c r="F139" s="422"/>
      <c r="G139" s="422"/>
      <c r="H139" s="422"/>
      <c r="I139" s="422"/>
      <c r="J139" s="422"/>
      <c r="K139" s="422"/>
      <c r="L139" s="422"/>
      <c r="M139" s="422"/>
      <c r="N139" s="422"/>
      <c r="P139" s="39"/>
    </row>
    <row r="140" spans="1:16" ht="25" hidden="1" customHeight="1" x14ac:dyDescent="0.35">
      <c r="A140" s="104" t="s">
        <v>1325</v>
      </c>
      <c r="B140" s="422" t="s">
        <v>1347</v>
      </c>
      <c r="C140" s="422"/>
      <c r="D140" s="422"/>
      <c r="E140" s="422"/>
      <c r="F140" s="422"/>
      <c r="G140" s="422"/>
      <c r="H140" s="422"/>
      <c r="I140" s="422"/>
      <c r="J140" s="422"/>
      <c r="K140" s="422"/>
      <c r="L140" s="422"/>
      <c r="M140" s="422"/>
      <c r="N140" s="422"/>
      <c r="O140" s="1"/>
      <c r="P140" s="40" t="s">
        <v>220</v>
      </c>
    </row>
    <row r="141" spans="1:16" ht="25" hidden="1" customHeight="1" x14ac:dyDescent="0.35">
      <c r="A141" s="104" t="s">
        <v>1336</v>
      </c>
      <c r="B141" s="422" t="s">
        <v>1342</v>
      </c>
      <c r="C141" s="422"/>
      <c r="D141" s="422"/>
      <c r="E141" s="422"/>
      <c r="F141" s="422"/>
      <c r="G141" s="422"/>
      <c r="H141" s="422"/>
      <c r="I141" s="422"/>
      <c r="J141" s="422"/>
      <c r="K141" s="422"/>
      <c r="L141" s="422"/>
      <c r="M141" s="422"/>
      <c r="N141" s="422"/>
      <c r="P141" s="39"/>
    </row>
    <row r="142" spans="1:16" ht="25" hidden="1" customHeight="1" x14ac:dyDescent="0.35">
      <c r="A142" s="259" t="s">
        <v>1341</v>
      </c>
      <c r="B142" s="422" t="s">
        <v>1343</v>
      </c>
      <c r="C142" s="422"/>
      <c r="D142" s="422"/>
      <c r="E142" s="422"/>
      <c r="F142" s="422"/>
      <c r="G142" s="422"/>
      <c r="H142" s="422"/>
      <c r="I142" s="422"/>
      <c r="J142" s="422"/>
      <c r="K142" s="422"/>
      <c r="L142" s="422"/>
      <c r="M142" s="422"/>
      <c r="N142" s="422"/>
      <c r="P142" s="39"/>
    </row>
    <row r="143" spans="1:16" ht="25" hidden="1" customHeight="1" x14ac:dyDescent="0.35">
      <c r="A143" s="259" t="s">
        <v>1365</v>
      </c>
      <c r="B143" s="422" t="s">
        <v>1366</v>
      </c>
      <c r="C143" s="422"/>
      <c r="D143" s="422"/>
      <c r="E143" s="422"/>
      <c r="F143" s="422"/>
      <c r="G143" s="422"/>
      <c r="H143" s="422"/>
      <c r="I143" s="422"/>
      <c r="J143" s="422"/>
      <c r="K143" s="422"/>
      <c r="L143" s="422"/>
      <c r="M143" s="422"/>
      <c r="N143" s="422"/>
      <c r="P143" s="39"/>
    </row>
    <row r="144" spans="1:16" ht="25" hidden="1" customHeight="1" x14ac:dyDescent="0.35">
      <c r="A144" s="259"/>
      <c r="B144" s="422"/>
      <c r="C144" s="422"/>
      <c r="D144" s="422"/>
      <c r="E144" s="422"/>
      <c r="F144" s="422"/>
      <c r="G144" s="422"/>
      <c r="H144" s="422"/>
      <c r="I144" s="422"/>
      <c r="J144" s="422"/>
      <c r="K144" s="422"/>
      <c r="L144" s="422"/>
      <c r="M144" s="422"/>
      <c r="N144" s="422"/>
      <c r="P144" s="39"/>
    </row>
    <row r="145" spans="1:16" x14ac:dyDescent="0.35">
      <c r="A145" s="259"/>
      <c r="B145" s="257"/>
      <c r="C145" s="257"/>
      <c r="D145" s="257"/>
      <c r="E145" s="257"/>
      <c r="F145" s="257"/>
      <c r="G145" s="257"/>
      <c r="H145" s="257"/>
      <c r="I145" s="257"/>
      <c r="J145" s="257"/>
      <c r="K145" s="257"/>
      <c r="L145" s="257"/>
      <c r="M145" s="257"/>
      <c r="N145" s="257"/>
      <c r="P145" s="39"/>
    </row>
    <row r="146" spans="1:16" x14ac:dyDescent="0.35">
      <c r="A146" s="136"/>
      <c r="B146" s="257"/>
      <c r="C146" s="257"/>
      <c r="D146" s="257"/>
      <c r="E146" s="257"/>
      <c r="F146" s="257"/>
      <c r="G146" s="257"/>
      <c r="H146" s="257"/>
      <c r="I146" s="257"/>
      <c r="J146" s="257"/>
      <c r="K146" s="257"/>
      <c r="L146" s="257"/>
      <c r="M146" s="257"/>
      <c r="N146" s="257"/>
      <c r="P146" s="39"/>
    </row>
    <row r="147" spans="1:16" ht="18.5" x14ac:dyDescent="0.45">
      <c r="A147" s="109" t="s">
        <v>614</v>
      </c>
      <c r="D147" s="305" t="s">
        <v>1328</v>
      </c>
      <c r="E147" s="69"/>
      <c r="F147" s="69"/>
      <c r="G147" s="69"/>
      <c r="H147" s="99"/>
      <c r="I147" s="65"/>
      <c r="J147" s="65"/>
      <c r="K147" s="65"/>
      <c r="L147" s="22"/>
    </row>
    <row r="148" spans="1:16" ht="18.5" x14ac:dyDescent="0.45">
      <c r="D148" s="45" t="s">
        <v>1077</v>
      </c>
      <c r="E148" s="430" t="e">
        <f>VLOOKUP(D148,'Sales Master'!C$3:E$643,2,0)</f>
        <v>#N/A</v>
      </c>
      <c r="F148" s="430"/>
      <c r="G148" s="430"/>
      <c r="H148" s="99">
        <v>1</v>
      </c>
      <c r="I148" s="65" t="e">
        <f>VLOOKUP(D148,'Sales Master'!C$3:G$936,5,0)</f>
        <v>#N/A</v>
      </c>
      <c r="J148" s="431" t="e">
        <f>VLOOKUP(D148,'Sales Master'!C$3:F$936,4,0)</f>
        <v>#N/A</v>
      </c>
      <c r="K148" s="431"/>
      <c r="L148" s="22">
        <v>17.5</v>
      </c>
    </row>
    <row r="149" spans="1:16" ht="18.5" x14ac:dyDescent="0.45">
      <c r="A149" s="172" t="s">
        <v>618</v>
      </c>
      <c r="B149" s="121"/>
      <c r="D149" s="45" t="s">
        <v>1079</v>
      </c>
      <c r="E149" s="430" t="e">
        <f>VLOOKUP(D149,'Sales Master'!C$3:E$643,2,0)</f>
        <v>#N/A</v>
      </c>
      <c r="F149" s="430"/>
      <c r="G149" s="430"/>
      <c r="H149" s="99">
        <v>1</v>
      </c>
      <c r="I149" s="65" t="e">
        <f>VLOOKUP(D149,'Sales Master'!C$3:G$936,5,0)</f>
        <v>#N/A</v>
      </c>
      <c r="J149" s="431" t="e">
        <f>VLOOKUP(D149,'Sales Master'!C$3:F$936,4,0)</f>
        <v>#N/A</v>
      </c>
      <c r="K149" s="431"/>
      <c r="L149" s="22">
        <v>17.5</v>
      </c>
    </row>
    <row r="150" spans="1:16" ht="18.5" x14ac:dyDescent="0.45">
      <c r="D150" s="99"/>
      <c r="E150" s="130"/>
      <c r="F150" s="130"/>
      <c r="G150" s="130"/>
      <c r="H150" s="99"/>
      <c r="I150" s="65"/>
      <c r="J150" s="65"/>
      <c r="K150" s="65"/>
      <c r="L150" s="22"/>
    </row>
    <row r="153" spans="1:16" ht="18.5" x14ac:dyDescent="0.45">
      <c r="D153" s="45"/>
      <c r="E153" s="69"/>
      <c r="F153" s="69"/>
      <c r="G153" s="69"/>
      <c r="H153" s="233"/>
      <c r="I153" s="65"/>
      <c r="J153" s="65"/>
      <c r="K153" s="65"/>
      <c r="L153" s="22"/>
    </row>
    <row r="154" spans="1:16" ht="18.5" x14ac:dyDescent="0.45">
      <c r="D154" s="172" t="s">
        <v>1348</v>
      </c>
      <c r="E154" s="60"/>
      <c r="F154" s="60"/>
      <c r="G154" s="60"/>
      <c r="H154" s="233"/>
      <c r="I154" s="65"/>
      <c r="J154" s="65"/>
      <c r="K154" s="65"/>
      <c r="L154" s="22"/>
    </row>
    <row r="155" spans="1:16" ht="18.5" x14ac:dyDescent="0.45">
      <c r="D155" s="338" t="s">
        <v>1706</v>
      </c>
      <c r="E155" s="45" t="e">
        <f>VLOOKUP(D155,'Sales Master'!D$3:F$702,2,0)</f>
        <v>#N/A</v>
      </c>
      <c r="F155" s="45"/>
      <c r="G155" s="45"/>
      <c r="H155" s="233">
        <v>1</v>
      </c>
      <c r="I155" s="322" t="e">
        <f>VLOOKUP(D155,'Sales Master'!D$3:H$936,5,0)</f>
        <v>#N/A</v>
      </c>
      <c r="J155" s="432" t="e">
        <f>VLOOKUP(D155,'Sales Master'!D$3:G$936,4,0)</f>
        <v>#N/A</v>
      </c>
      <c r="K155" s="432"/>
      <c r="L155" s="22">
        <v>31</v>
      </c>
    </row>
    <row r="156" spans="1:16" ht="18.5" x14ac:dyDescent="0.45">
      <c r="E156" s="45"/>
      <c r="F156" s="430"/>
      <c r="G156" s="430"/>
      <c r="H156" s="430"/>
      <c r="I156" s="233"/>
      <c r="J156" s="65"/>
      <c r="K156" s="431"/>
      <c r="L156" s="431"/>
      <c r="M156" s="22"/>
    </row>
    <row r="157" spans="1:16" ht="18.5" x14ac:dyDescent="0.45">
      <c r="D157" s="12" t="s">
        <v>1236</v>
      </c>
    </row>
    <row r="158" spans="1:16" ht="18.5" x14ac:dyDescent="0.45">
      <c r="D158" s="69" t="s">
        <v>1363</v>
      </c>
    </row>
    <row r="159" spans="1:16" ht="18.5" x14ac:dyDescent="0.45">
      <c r="D159" s="69" t="s">
        <v>1364</v>
      </c>
    </row>
    <row r="333" spans="25:25" x14ac:dyDescent="0.35">
      <c r="Y333">
        <v>23</v>
      </c>
    </row>
    <row r="337" spans="100:107" x14ac:dyDescent="0.35">
      <c r="CV337">
        <v>30</v>
      </c>
      <c r="CZ337">
        <v>30</v>
      </c>
      <c r="DC337">
        <v>30</v>
      </c>
    </row>
  </sheetData>
  <autoFilter ref="A3:Y144" xr:uid="{8C7256E7-94ED-4E96-B096-501648276FEA}">
    <filterColumn colId="1" showButton="0">
      <filters>
        <filter val="隹 发生果店                                              Ubi Ave 1,  Blk 302.    #01- 79    Singapore 400302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149">
    <mergeCell ref="B104:N104"/>
    <mergeCell ref="B92:N92"/>
    <mergeCell ref="B93:N93"/>
    <mergeCell ref="B85:N85"/>
    <mergeCell ref="B87:N87"/>
    <mergeCell ref="B68:N68"/>
    <mergeCell ref="B71:N71"/>
    <mergeCell ref="B69:N69"/>
    <mergeCell ref="B102:N102"/>
    <mergeCell ref="B101:N101"/>
    <mergeCell ref="B91:N91"/>
    <mergeCell ref="B84:N84"/>
    <mergeCell ref="B97:N97"/>
    <mergeCell ref="B72:N72"/>
    <mergeCell ref="B95:N95"/>
    <mergeCell ref="B96:N96"/>
    <mergeCell ref="B77:N77"/>
    <mergeCell ref="B78:N78"/>
    <mergeCell ref="B80:N80"/>
    <mergeCell ref="B82:N82"/>
    <mergeCell ref="B73:N73"/>
    <mergeCell ref="B79:N79"/>
    <mergeCell ref="B74:N74"/>
    <mergeCell ref="B90:N90"/>
    <mergeCell ref="F156:H156"/>
    <mergeCell ref="K156:L156"/>
    <mergeCell ref="B134:N134"/>
    <mergeCell ref="B123:N123"/>
    <mergeCell ref="B120:N120"/>
    <mergeCell ref="B119:N119"/>
    <mergeCell ref="B116:N116"/>
    <mergeCell ref="B115:N115"/>
    <mergeCell ref="B111:N111"/>
    <mergeCell ref="B136:N136"/>
    <mergeCell ref="B140:N140"/>
    <mergeCell ref="B137:N137"/>
    <mergeCell ref="B135:N135"/>
    <mergeCell ref="B133:N133"/>
    <mergeCell ref="B138:N138"/>
    <mergeCell ref="B139:N139"/>
    <mergeCell ref="E148:G148"/>
    <mergeCell ref="J148:K148"/>
    <mergeCell ref="E149:G149"/>
    <mergeCell ref="J149:K149"/>
    <mergeCell ref="B144:N144"/>
    <mergeCell ref="B143:N143"/>
    <mergeCell ref="B142:N142"/>
    <mergeCell ref="J155:K155"/>
    <mergeCell ref="B141:N141"/>
    <mergeCell ref="B107:N107"/>
    <mergeCell ref="B105:N105"/>
    <mergeCell ref="B109:N109"/>
    <mergeCell ref="B112:N112"/>
    <mergeCell ref="B110:N110"/>
    <mergeCell ref="B94:N94"/>
    <mergeCell ref="B132:N132"/>
    <mergeCell ref="B129:N129"/>
    <mergeCell ref="B128:N128"/>
    <mergeCell ref="B125:N125"/>
    <mergeCell ref="B124:N124"/>
    <mergeCell ref="B103:N103"/>
    <mergeCell ref="B131:N131"/>
    <mergeCell ref="B130:N130"/>
    <mergeCell ref="B127:N127"/>
    <mergeCell ref="B126:N126"/>
    <mergeCell ref="B121:N121"/>
    <mergeCell ref="B122:N122"/>
    <mergeCell ref="B118:N118"/>
    <mergeCell ref="B117:N117"/>
    <mergeCell ref="B113:N113"/>
    <mergeCell ref="B114:N114"/>
    <mergeCell ref="B108:N108"/>
    <mergeCell ref="B106:N106"/>
    <mergeCell ref="B8:N8"/>
    <mergeCell ref="B6:N6"/>
    <mergeCell ref="B89:N89"/>
    <mergeCell ref="B100:N100"/>
    <mergeCell ref="B99:N99"/>
    <mergeCell ref="B83:N83"/>
    <mergeCell ref="B98:N98"/>
    <mergeCell ref="B17:N17"/>
    <mergeCell ref="B44:N44"/>
    <mergeCell ref="B41:N41"/>
    <mergeCell ref="B25:N25"/>
    <mergeCell ref="B26:N26"/>
    <mergeCell ref="B70:N70"/>
    <mergeCell ref="B42:N42"/>
    <mergeCell ref="B47:N47"/>
    <mergeCell ref="B43:N43"/>
    <mergeCell ref="B40:N40"/>
    <mergeCell ref="B45:N45"/>
    <mergeCell ref="B52:N52"/>
    <mergeCell ref="B54:N54"/>
    <mergeCell ref="B58:N58"/>
    <mergeCell ref="B62:N62"/>
    <mergeCell ref="B15:N15"/>
    <mergeCell ref="B3:N3"/>
    <mergeCell ref="B4:N4"/>
    <mergeCell ref="B31:N31"/>
    <mergeCell ref="B29:N29"/>
    <mergeCell ref="B34:N34"/>
    <mergeCell ref="B30:N30"/>
    <mergeCell ref="B39:N39"/>
    <mergeCell ref="B32:N32"/>
    <mergeCell ref="B33:N33"/>
    <mergeCell ref="B12:N12"/>
    <mergeCell ref="B35:N35"/>
    <mergeCell ref="B7:N7"/>
    <mergeCell ref="B38:N38"/>
    <mergeCell ref="B24:N24"/>
    <mergeCell ref="B21:N21"/>
    <mergeCell ref="B23:N23"/>
    <mergeCell ref="B10:N10"/>
    <mergeCell ref="B13:N13"/>
    <mergeCell ref="B22:N22"/>
    <mergeCell ref="B20:N20"/>
    <mergeCell ref="B36:N36"/>
    <mergeCell ref="B27:N27"/>
    <mergeCell ref="B11:N11"/>
    <mergeCell ref="B16:N16"/>
    <mergeCell ref="B37:N37"/>
    <mergeCell ref="B19:N19"/>
    <mergeCell ref="B28:N28"/>
    <mergeCell ref="B18:N18"/>
    <mergeCell ref="B46:N46"/>
    <mergeCell ref="B5:N5"/>
    <mergeCell ref="B53:N53"/>
    <mergeCell ref="B51:N51"/>
    <mergeCell ref="B50:N50"/>
    <mergeCell ref="B48:N48"/>
    <mergeCell ref="B14:N14"/>
    <mergeCell ref="B49:N49"/>
    <mergeCell ref="B9:N9"/>
    <mergeCell ref="B88:N88"/>
    <mergeCell ref="B55:N55"/>
    <mergeCell ref="B57:N57"/>
    <mergeCell ref="B63:N63"/>
    <mergeCell ref="B66:N66"/>
    <mergeCell ref="B64:N64"/>
    <mergeCell ref="B81:N81"/>
    <mergeCell ref="B65:N65"/>
    <mergeCell ref="B61:N61"/>
    <mergeCell ref="B59:N59"/>
    <mergeCell ref="B60:N60"/>
    <mergeCell ref="B67:N67"/>
    <mergeCell ref="B75:N75"/>
    <mergeCell ref="B56:N56"/>
    <mergeCell ref="B86:N86"/>
    <mergeCell ref="B76:N76"/>
  </mergeCells>
  <phoneticPr fontId="11" type="noConversion"/>
  <conditionalFormatting sqref="D147:D149">
    <cfRule type="duplicateValues" dxfId="156" priority="3"/>
  </conditionalFormatting>
  <conditionalFormatting sqref="D153">
    <cfRule type="duplicateValues" dxfId="155" priority="5"/>
  </conditionalFormatting>
  <conditionalFormatting sqref="D153:D154">
    <cfRule type="duplicateValues" dxfId="154" priority="6"/>
  </conditionalFormatting>
  <hyperlinks>
    <hyperlink ref="A11" location="'顺兴 (S)'!Print_Area" display="WID#08" xr:uid="{559DAF9F-292C-4E83-8750-7D1EC06F9044}"/>
    <hyperlink ref="A37" location="'#34'!Print_Area" display="WID#34" xr:uid="{D9901B07-75F7-477F-A36D-461F83EF0943}"/>
    <hyperlink ref="A4" location="'珍姐_x0009__x0009_'!Print_Area" display="WID#01" xr:uid="{C3646AD5-478A-4E27-91F4-5E89CD588C49}"/>
    <hyperlink ref="A26" location="'#23'!Print_Area" display="WID#23" xr:uid="{246C6483-C1E9-4A46-9989-711E1E505C1C}"/>
    <hyperlink ref="A27" location="'#24'!Print_Area" display="WID#24" xr:uid="{62D39540-7815-4468-8EF0-6F20B45C5F36}"/>
    <hyperlink ref="A5" location="'#02'!A1" display="WID#02" xr:uid="{8A6664F0-5B27-4FB5-B320-913D3F0913A7}"/>
    <hyperlink ref="A7" location="凉凉!Print_Area" display="WID#04" xr:uid="{376A012C-4189-4F1E-916A-F04D38614B5B}"/>
    <hyperlink ref="A6" location="'#03'!Print_Area" display="WID#03" xr:uid="{D713B2E5-BB55-49C8-853E-8B8D6F305E61}"/>
    <hyperlink ref="A8" location="'#05'!Print_Area" display="WID#05" xr:uid="{96CBC795-7757-4A85-AF03-7EBD80DE055F}"/>
    <hyperlink ref="A9" location="'#06'!Print_Area" display="WID#06" xr:uid="{48922D87-77A5-4DB9-9EDF-E57B958AD753}"/>
    <hyperlink ref="A10" location="'#07'!Print_Area" display="WID#07" xr:uid="{B5FBBDE0-F2D0-4369-A32B-DEC7E2D5D7F7}"/>
    <hyperlink ref="A12" location="'#09'!Print_Area" display="WID#09" xr:uid="{BF6FDD40-E3F5-4D3D-B40A-FBE906B64020}"/>
    <hyperlink ref="A13" location="'#10'!Print_Area" display="WID#10" xr:uid="{FA71C37C-75AC-49A5-8958-22B507CE7525}"/>
    <hyperlink ref="A14" location="'#11'!Print_Area" display="WID#11" xr:uid="{D7C3D7EA-86F5-4D2F-839F-60C5D040B856}"/>
    <hyperlink ref="A15" location="'#12'!Print_Area" display="WID#12" xr:uid="{AAF11C03-E551-4A9A-8040-BE4DC2E7E42C}"/>
    <hyperlink ref="A16" location="'#13'!Print_Area" display="WID#13" xr:uid="{F2F3F31F-97AD-46D0-B73C-D329FE2399A4}"/>
    <hyperlink ref="A17" location="'#14'!Print_Area" display="WID#14" xr:uid="{1DAF097E-885F-4857-8434-62934E480273}"/>
    <hyperlink ref="A18" location="'#15'!Print_Area" display="WID#15" xr:uid="{BC46B0C3-1309-4D30-943A-BB361CA4A283}"/>
    <hyperlink ref="A19" location="'#16'!Print_Area" display="WID#16" xr:uid="{0E886BAB-6C2C-424C-BA53-4CA3B4091DFC}"/>
    <hyperlink ref="A20" location="'#17'!Print_Area" display="WID#17" xr:uid="{5D4C6F04-6B07-41A4-A506-4589E1F20742}"/>
    <hyperlink ref="A22" location="'#19'!Print_Area" display="WID#19" xr:uid="{9DE67C7A-BCAE-460A-BE9E-98D4A03A19A3}"/>
    <hyperlink ref="A23" location="'#20'!Print_Area" display="WID#20" xr:uid="{0373350F-FD64-432B-A703-7E3E014163D1}"/>
    <hyperlink ref="A24" location="'#21'!Print_Area" display="WID#21" xr:uid="{92891C48-0984-4528-9946-A5B5047F1F6A}"/>
    <hyperlink ref="A25" location="'#22'!Print_Area" display="WID#22" xr:uid="{9BD5DC68-E685-4092-8DD6-7940C776DC75}"/>
    <hyperlink ref="A28" location="'#25'!Print_Area" display="WID#25" xr:uid="{2EA9420D-5321-4FF3-9457-CFE593142851}"/>
    <hyperlink ref="A30" location="'#27'!Print_Area" display="WID#27" xr:uid="{503A3296-8F5A-48B0-9E84-2EC533723BF4}"/>
    <hyperlink ref="A29" location="'#26'!Print_Area" display="WID#26" xr:uid="{A04118EC-32DE-41B5-ACA7-01F97C7AFA7E}"/>
    <hyperlink ref="A31" location="'#28'!Print_Area" display="WID#28" xr:uid="{A3071320-0910-4A10-8A74-8F4ADED0D24A}"/>
    <hyperlink ref="A33" location="'#30'!Print_Area" display="WID#30" xr:uid="{DC9C9AD3-ACCF-48B5-9691-22063AC4B951}"/>
    <hyperlink ref="A34" location="'#31'!Print_Area" display="WID#31" xr:uid="{8DB9865D-EE61-45DD-BE59-B6D41AFAEA46}"/>
    <hyperlink ref="A35" location="'#32'!Print_Area" display="WID#32" xr:uid="{EAA2A89F-93CB-425C-A21D-550EDD7196E1}"/>
    <hyperlink ref="A36" location="'#33'!Print_Area" display="WID#33" xr:uid="{C42A23CF-0609-4B87-BF19-4A909F294710}"/>
    <hyperlink ref="A38" location="'#35'!Print_Area" display="WID#35" xr:uid="{1BE09111-43ED-4594-BD33-C09E9CDF6237}"/>
    <hyperlink ref="A39" location="'#36'!Print_Area" display="WID#36" xr:uid="{F966A2DC-CF4A-4905-9F50-CFE10E676E9A}"/>
    <hyperlink ref="A40" location="'#37'!Print_Area" display="WID#37" xr:uid="{C68C8D86-2920-4F40-82E7-D2887DF357A5}"/>
    <hyperlink ref="A41" location="'#38'!Print_Area" display="WID#38" xr:uid="{70BC05EF-11C4-4B6B-9B78-687A0F63BE83}"/>
    <hyperlink ref="A42" location="'#39'!Print_Area" display="WID#39" xr:uid="{FE65496A-9496-43FA-B1DB-F48603B1B2CB}"/>
    <hyperlink ref="A43" location="'#40'!Print_Area" display="WID#40" xr:uid="{01ACB777-D365-4C1D-A90D-D1F18094454E}"/>
    <hyperlink ref="A44" location="'#41'!Print_Area" display="WID#41" xr:uid="{95B3AE68-1867-4CBB-BE4E-C7EBAF15D493}"/>
    <hyperlink ref="A45" location="'#42'!Print_Area" display="WID#42" xr:uid="{559EAAE6-A001-4488-9456-6EAC65FAE36E}"/>
    <hyperlink ref="A46" location="'#43'!Print_Area" display="WID#43" xr:uid="{36378460-F95A-4228-93AC-B0808309C1A1}"/>
    <hyperlink ref="A47" location="'#44'!Print_Area" display="WID#44" xr:uid="{8BB11A7D-B738-4EE7-8921-014CE8E131EE}"/>
    <hyperlink ref="A48" location="'#46'!Print_Area" display="WID#46" xr:uid="{3E82619C-9DF5-42B1-B1CB-2F6601B1FF63}"/>
    <hyperlink ref="A49" location="'#47'!Print_Area" display="WID#47" xr:uid="{CAF7731B-0089-4B86-8389-A15B403FA8C5}"/>
    <hyperlink ref="A50" location="'#48'!Print_Area" display="WID#48" xr:uid="{11C5D8D0-9C06-40BE-B489-C255372885F1}"/>
    <hyperlink ref="A51" location="'#49'!Print_Area" display="WID#49" xr:uid="{F2455CCF-7B3D-440F-846B-CAB2ED147793}"/>
    <hyperlink ref="A52" location="'#50'!Print_Area" display="WID#50" xr:uid="{62D73DA1-CC0E-4D88-A954-9D73166EF428}"/>
    <hyperlink ref="A53" location="'#51'!Print_Area" display="WID#51" xr:uid="{B44F8353-13B1-491C-AC88-0D9FF16B3FEA}"/>
    <hyperlink ref="A54" location="'#52'!Print_Area" display="WID#52" xr:uid="{61D42E7F-0E5F-40F9-B2D1-7A27EC84418A}"/>
    <hyperlink ref="A55" location="'#53'!A1" display="WID#53" xr:uid="{B95E1A32-1A97-4299-B661-695BD0ADCD8F}"/>
    <hyperlink ref="A56" location="'#54'!Print_Area" display="WID#54" xr:uid="{6BEC0816-67C8-4B7C-9B5D-6EBE3B8DC506}"/>
    <hyperlink ref="A57" location="'#55'!Print_Area" display="WID#55" xr:uid="{C9413474-02FA-42AB-A19A-FA3CB2FED7D2}"/>
    <hyperlink ref="A58" location="'#56'!Print_Area" display="WID#56" xr:uid="{0B756BBF-4B78-4BB0-B4B7-832F63C66222}"/>
    <hyperlink ref="A59" location="'#57'!Print_Area" display="WID#57" xr:uid="{1FC69E28-2029-4DDB-BD27-5AD394394551}"/>
    <hyperlink ref="A60" location="'#58'!Print_Area" display="WID#58" xr:uid="{9CEF92BA-AEC6-42F2-ABEE-DBEA7DD355C7}"/>
    <hyperlink ref="A61" location="'#59'!Print_Area" display="WID#59" xr:uid="{0B5FE0B3-80EB-41DE-983F-18920E67C1BA}"/>
    <hyperlink ref="A62" location="'#60'!Print_Area" display="WID#60" xr:uid="{F9328C84-73B7-4734-9F0E-803A16FEDCE5}"/>
    <hyperlink ref="A63" location="'#61'!Print_Area" display="WID#61" xr:uid="{8AE989EE-F12C-4530-BB91-29E971ED30EB}"/>
    <hyperlink ref="A65" location="'#63'!Print_Area" display="WID#63" xr:uid="{B9DF58F1-E1BA-438D-88B7-8E50CA428F48}"/>
    <hyperlink ref="A66" location="'#64'!Print_Area" display="WID#64" xr:uid="{286107E7-5262-4E83-A3D9-D3F112F6F7DC}"/>
    <hyperlink ref="A73" location="'#71'!Print_Area" display="WID#71" xr:uid="{EE76A28B-CABE-4848-B6C1-93B1D8B3201A}"/>
    <hyperlink ref="A75" location="'#74'!Print_Area" display="WID#74" xr:uid="{06750502-B345-4A97-818B-45E707EC61F0}"/>
    <hyperlink ref="A77" location="'#76'!Print_Area" display="WID#76" xr:uid="{F70EDD48-6780-4685-A8D9-6C509B53F87C}"/>
    <hyperlink ref="A78" location="'#77'!Print_Area" display="WID#77" xr:uid="{97362007-31D4-4568-B0F0-B6BBC4CB121E}"/>
    <hyperlink ref="A79" location="'#78'!Print_Area" display="WID#78" xr:uid="{A2D58F36-7D24-4192-8EAF-65AE13F90DA4}"/>
    <hyperlink ref="A80" location="'#79'!Print_Area" display="WID#79" xr:uid="{CCDC1746-A594-4017-9A56-90F7350A46EC}"/>
    <hyperlink ref="A81" location="'#80'!Print_Area" display="WID#80" xr:uid="{E36184CF-FB34-44D3-9897-EA75B0196EBE}"/>
    <hyperlink ref="A82" location="'#81'!Print_Area" display="WID#81" xr:uid="{48235F16-AF22-400F-807B-601FEBF1CD2E}"/>
    <hyperlink ref="A83" location="'#82'!Print_Area" display="WID#82" xr:uid="{34747D00-0542-4893-A8A2-736683FEBD86}"/>
    <hyperlink ref="A84" location="'#83'!Print_Area" display="WID#83" xr:uid="{504ED659-4231-4F7A-8795-04F9D9737AC4}"/>
    <hyperlink ref="A86" location="'#85'!Print_Area" display="WID#85" xr:uid="{8F128303-9E42-47C4-9A2A-E03CB891CCD9}"/>
    <hyperlink ref="A87" location="'#86'!Print_Area" display="WID#86" xr:uid="{7880BEC4-77FF-4576-B0D5-061CB5CAC132}"/>
    <hyperlink ref="A91" location="'#90'!Print_Area" display="WID#90" xr:uid="{9457B82E-64E7-4085-9977-D9A83A8699C2}"/>
    <hyperlink ref="A92" location="'#91'!Print_Area" display="WID#91" xr:uid="{140A3D5E-10E8-4BE7-AA59-E66FB58FB15A}"/>
    <hyperlink ref="A93" location="'#92'!Print_Area" display="WID#92" xr:uid="{D24102B8-334C-4281-9453-38F12342AEF0}"/>
    <hyperlink ref="A94" location="'#93'!Print_Area" display="WID#93" xr:uid="{EF3B6951-04DD-4DAD-8F96-CF741E893A91}"/>
    <hyperlink ref="A95" location="'#94'!Print_Area" display="WID#94" xr:uid="{52D1A5CE-D088-4E3A-A4EE-402620D36094}"/>
    <hyperlink ref="A97" location="'#96'!Print_Area" display="WID#96" xr:uid="{DA3182D3-670F-45C2-B25A-25A369636F17}"/>
    <hyperlink ref="A98" location="'#97'!Print_Area" display="WID#97" xr:uid="{445206B3-40C2-4C15-953A-F6C954BC74E4}"/>
    <hyperlink ref="A99" location="'#98'!Print_Area" display="WID#98" xr:uid="{BA462A66-0E12-4553-A80C-5DFA49F98F42}"/>
    <hyperlink ref="A100" location="'#99'!Print_Area" display="WID#99" xr:uid="{B66FE315-14A9-479C-AFA8-D9AAE9EF1D98}"/>
    <hyperlink ref="A101" location="'#100'!Print_Area" display="WID#100" xr:uid="{11B61C33-697A-40D1-94D0-1B1784E268F7}"/>
    <hyperlink ref="A102" location="'#101'!Print_Area" display="WID#101" xr:uid="{9A81B857-8C20-4BB6-BD44-EB4865A01BE9}"/>
    <hyperlink ref="A103" location="'#102'!Print_Area" display="WID#102" xr:uid="{086DE013-2FE7-4B3E-B914-5A784735462F}"/>
    <hyperlink ref="A76" location="'#75'!Print_Area" display="WID#75" xr:uid="{25DBC4EA-1128-4657-A4FC-1D310ECC250B}"/>
    <hyperlink ref="A104" location="'#103'!Print_Area" display="WID#103" xr:uid="{E5FF496C-2E02-4F03-99D4-34DE89D31FC0}"/>
    <hyperlink ref="A90" location="'#89'!Print_Area" display="WID#89" xr:uid="{A6AB5B26-1A5A-4E29-8F79-4D046F9FA631}"/>
    <hyperlink ref="A21" location="'#18'!A1" display="WID#18" xr:uid="{18CDD30B-4B7E-49F5-94B6-5C263765EDDD}"/>
    <hyperlink ref="A88" location="'#87'!Print_Area" display="WID#87" xr:uid="{4A1C4287-5B56-4F98-A82C-3D1BD9079780}"/>
    <hyperlink ref="A106" location="'#105'!Print_Area" display="WID#105" xr:uid="{66C3179D-7D0A-4503-94D1-2DADC33D496C}"/>
    <hyperlink ref="A108" location="'#107'!Print_Area" display="WID#107" xr:uid="{9A98A88C-B67B-4DE8-BBC7-87E36884C46A}"/>
    <hyperlink ref="A70" location="'#68'!Print_Area" display="WID#68" xr:uid="{675C76B2-7081-4AA8-8D1C-1E6A6751FC52}"/>
    <hyperlink ref="A105" location="'#104'!A1" display="WID#104" xr:uid="{13F60163-5624-4486-BFE2-92E791F8572D}"/>
    <hyperlink ref="A32" location="'#29'!Print_Area" display="WID#29" xr:uid="{882EC340-D678-495D-BC66-DFA1DE01C5C0}"/>
    <hyperlink ref="A85" location="'#84'!Print_Area" display="WID#84" xr:uid="{A814E405-7549-46E0-A9B4-496A60086FDD}"/>
    <hyperlink ref="A89" location="'#88'!Print_Area" display="WID#88" xr:uid="{E965C289-726E-4146-A03E-4C9C1BB99259}"/>
    <hyperlink ref="A109" location="'#108'!Print_Area" display="WID#108" xr:uid="{6A09B9D4-4F29-4566-89E8-63139DC166DF}"/>
    <hyperlink ref="A113" location="'#113'!Print_Area" display="WID#113" xr:uid="{2383938F-E7E8-42FB-AAC9-735853AECE84}"/>
    <hyperlink ref="A114" location="'#114'!Print_Area" display="WID#114" xr:uid="{61B39575-B069-4EA1-81F7-58DCADB45060}"/>
    <hyperlink ref="A115" location="'#115'!Print_Area" display="WID#115" xr:uid="{392FD51F-82AB-4EFA-A081-F58124EC1282}"/>
    <hyperlink ref="A116" location="'#116'!Print_Area" display="WID#116" xr:uid="{F20A2795-57A9-4218-8B57-A2008FFC9690}"/>
    <hyperlink ref="A118" location="'118'!A1" display="WID#118" xr:uid="{B735F019-7230-4C87-A33A-126CB63548BE}"/>
    <hyperlink ref="A112" location="'#112'!Print_Area" display="WID#112" xr:uid="{193CCDB5-07FA-4E21-B6F8-1837F533A765}"/>
    <hyperlink ref="A119" location="'#119'!Print_Area" display="WID#119" xr:uid="{47C78AC9-58D2-4D28-8F3A-384B94F35E7F}"/>
    <hyperlink ref="A120" location="'#119'!Print_Area" display="WID#119" xr:uid="{A50C721F-C64F-4550-8390-754C943B6CB4}"/>
    <hyperlink ref="A122" location="'#122'!Print_Area" display="WID#122" xr:uid="{DB6BA697-9AF3-428A-912D-67840BA55F3D}"/>
    <hyperlink ref="A123" location="'#122'!Print_Area" display="WID#122" xr:uid="{1710676F-6825-4163-BEE9-B2662AA8D5C2}"/>
    <hyperlink ref="A64" location="'#62'!Print_Area" display="WID#62" xr:uid="{8C13A2C9-10EC-4D2D-A36F-55DB9CCBE163}"/>
    <hyperlink ref="A125" location="'#125'!Print_Area" display="WID#125" xr:uid="{35DF63BF-1B50-4C73-9973-FAE395DC60F1}"/>
    <hyperlink ref="A111" location="'#110'!Print_Area" display="WID#110" xr:uid="{DDFEF2A0-32CF-40CD-8CB6-F69AFEAE3896}"/>
    <hyperlink ref="A96" location="'#95'!Print_Area" display="WID#95" xr:uid="{A0D62700-D72A-4015-B714-6FA10852686D}"/>
    <hyperlink ref="A128" location="'#128'!Print_Area" display="WID#128" xr:uid="{35F957C4-E176-4270-8939-166B3319475B}"/>
    <hyperlink ref="A129" location="'#129'!Print_Area" display="WID#129" xr:uid="{2AF16A87-D0FE-4720-803B-C67629706F70}"/>
    <hyperlink ref="A131" location="'#132'!Print_Area" display="WID#132" xr:uid="{62AC794A-4129-4949-9E89-ECC7E2EC7ECF}"/>
    <hyperlink ref="A110" location="'#109'!Print_Area" display="WID#109" xr:uid="{81A03BCD-2D31-46ED-B31F-7742FC73E68C}"/>
    <hyperlink ref="A132" location="'#133'!Print_Area" display="WID#133" xr:uid="{056B7B57-E81E-46F4-B3CE-6F5EC3D21691}"/>
    <hyperlink ref="A133" location="'#134'!Print_Area" display="WID#134" xr:uid="{2A826B43-2F52-473E-B586-117151341D8F}"/>
    <hyperlink ref="A135" location="'#136'!A1" display="WID#136" xr:uid="{397CA830-83B3-4CBC-ADB7-0EB90D15EA61}"/>
    <hyperlink ref="A136" location="'#137'!Print_Area" display="WID#137" xr:uid="{D5F96F2B-5163-4CBD-A3BA-D4EAF3EA7DF2}"/>
    <hyperlink ref="A137" location="'#138'!Print_Area" display="WID#138" xr:uid="{DD16C91F-BBB8-4E44-B5DC-7D00478AEAC2}"/>
    <hyperlink ref="A138" location="'#139'!Print_Area" display="WID#139" xr:uid="{F46CA70B-534D-437B-9A2B-BD0739EE03BE}"/>
    <hyperlink ref="A139" location="'PU EN SI EU'!A1" display="WID#140" xr:uid="{EB2E349C-3149-435A-8B33-81C898910054}"/>
    <hyperlink ref="A140" location="'JIA HUA'!A1" display="WID#141" xr:uid="{5F429A6E-5D7D-418F-964D-3BA11260A205}"/>
    <hyperlink ref="A130" location="'#130'!Print_Area" display="WID#130" xr:uid="{8831DB1B-7716-4536-AC62-C9AE8065BE57}"/>
    <hyperlink ref="A141" location="'#142'!A1" display="WID#142" xr:uid="{C62A4713-9768-4655-A3EB-94B30879CA43}"/>
    <hyperlink ref="A142" location="'#143'!A1" display="WID#142" xr:uid="{BB9DD9F6-1529-49D4-BBD6-4A894EB40B34}"/>
    <hyperlink ref="A134" location="'Nursing Home'!A1" display="WID#135" xr:uid="{7ADB8F76-890C-44AB-BE4D-84EA3896EC0B}"/>
    <hyperlink ref="A143" location="'#144'!A1" display="WID#144" xr:uid="{3FE34FAE-BA69-4DD2-A323-A4F668FC5F7F}"/>
    <hyperlink ref="A107" location="'#106'!Print_Area" display="WID#106" xr:uid="{3AEC663A-58D1-4B14-B0D7-604E8F7EBBE0}"/>
    <hyperlink ref="A67" location="'#65'!Print_Area" display="WID#65" xr:uid="{6FB22E96-C233-4C15-9AD2-A9C98D329EB4}"/>
  </hyperlinks>
  <pageMargins left="0.70866141732283472" right="0.70866141732283472" top="0.74803149606299213" bottom="0.35433070866141736" header="0.31496062992125984" footer="0.31496062992125984"/>
  <pageSetup paperSize="9" scale="79" fitToHeight="0" orientation="landscape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7D58D-A3A9-499C-BBA3-08030B6B0632}">
  <sheetPr codeName="Sheet44">
    <tabColor rgb="FFFFC000"/>
    <pageSetUpPr fitToPage="1"/>
  </sheetPr>
  <dimension ref="B1:Y329"/>
  <sheetViews>
    <sheetView topLeftCell="A7" zoomScaleNormal="100" workbookViewId="0">
      <selection activeCell="G17" sqref="G1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7.54296875" style="60" customWidth="1"/>
    <col min="9" max="9" width="1" style="60" customWidth="1"/>
    <col min="10" max="10" width="15.54296875" style="60" customWidth="1"/>
    <col min="11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417</v>
      </c>
      <c r="J10" s="17" t="s">
        <v>26</v>
      </c>
      <c r="K10" s="455">
        <v>202304329</v>
      </c>
      <c r="L10" s="456"/>
    </row>
    <row r="11" spans="2:12" ht="20.149999999999999" customHeight="1" x14ac:dyDescent="0.45">
      <c r="B11" s="480" t="s">
        <v>311</v>
      </c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460">
        <v>45033</v>
      </c>
      <c r="L11" s="461"/>
    </row>
    <row r="12" spans="2:12" ht="20.149999999999999" customHeight="1" x14ac:dyDescent="0.45">
      <c r="B12" s="462" t="s">
        <v>309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 t="s">
        <v>310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1277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143" t="s">
        <v>1080</v>
      </c>
      <c r="D18" s="430" t="str">
        <f>VLOOKUP(C18,'Sales Master'!B$3:D$702,2,0)</f>
        <v>Fine Sugar 白糖</v>
      </c>
      <c r="E18" s="430"/>
      <c r="F18" s="430"/>
      <c r="G18" s="99">
        <v>1</v>
      </c>
      <c r="H18" s="241" t="str">
        <f>VLOOKUP(C18,'Sales Master'!B$3:F$936,5,0)</f>
        <v>25 KGS</v>
      </c>
      <c r="I18" s="432" t="str">
        <f>VLOOKUP(C18,'Sales Master'!B$3:E$936,4,0)</f>
        <v>MITR PHOL</v>
      </c>
      <c r="J18" s="432"/>
      <c r="K18" s="22">
        <f>VLOOKUP(C18,'Sales Master'!B$3:Y$536,24,0)</f>
        <v>0</v>
      </c>
      <c r="L18" s="71">
        <f t="shared" ref="L18:L19" si="0">K18*G18</f>
        <v>0</v>
      </c>
      <c r="N18" s="247">
        <f>VLOOKUP(C18,'Sales Master'!$B$3:$FA$3051,156,0)</f>
        <v>26.784000000000002</v>
      </c>
      <c r="O18" s="247">
        <f t="shared" ref="O18:O19" si="1">K18-N18</f>
        <v>-26.784000000000002</v>
      </c>
      <c r="P18" s="247">
        <f t="shared" ref="P18:P19" si="2">O18*G18</f>
        <v>-26.784000000000002</v>
      </c>
    </row>
    <row r="19" spans="2:16" ht="20.149999999999999" customHeight="1" x14ac:dyDescent="0.45">
      <c r="B19" s="21"/>
      <c r="C19" s="45" t="s">
        <v>916</v>
      </c>
      <c r="D19" s="69" t="str">
        <f>VLOOKUP(C19,'Sales Master'!B$3:D$702,2,0)</f>
        <v>Atap Seeds in Syrup 亚嗒子</v>
      </c>
      <c r="E19" s="69"/>
      <c r="F19" s="69"/>
      <c r="G19" s="99">
        <v>1</v>
      </c>
      <c r="H19" s="241" t="str">
        <f>VLOOKUP(C19,'Sales Master'!B$3:F$936,5,0)</f>
        <v>NW (1.6:0.6) 2.2 kgs</v>
      </c>
      <c r="I19" s="322" t="str">
        <f>VLOOKUP(C19,'Sales Master'!B$3:E$936,4,0)</f>
        <v>2P</v>
      </c>
      <c r="J19" s="322"/>
      <c r="K19" s="22">
        <f>VLOOKUP(C19,'Sales Master'!B$3:Y$536,24,0)</f>
        <v>0</v>
      </c>
      <c r="L19" s="71">
        <f t="shared" si="0"/>
        <v>0</v>
      </c>
      <c r="N19" s="247">
        <f>VLOOKUP(C19,'Sales Master'!$B$3:$FA$3051,156,0)</f>
        <v>8.1462857142857139</v>
      </c>
      <c r="O19" s="247">
        <f t="shared" si="1"/>
        <v>-8.1462857142857139</v>
      </c>
      <c r="P19" s="247">
        <f t="shared" si="2"/>
        <v>-8.1462857142857139</v>
      </c>
    </row>
    <row r="20" spans="2:16" ht="20.149999999999999" customHeight="1" x14ac:dyDescent="0.45">
      <c r="B20" s="21"/>
      <c r="C20" s="45"/>
      <c r="D20" s="69"/>
      <c r="E20" s="69"/>
      <c r="F20" s="69"/>
      <c r="G20" s="99"/>
      <c r="H20" s="241"/>
      <c r="I20" s="322"/>
      <c r="J20" s="322"/>
      <c r="K20" s="22"/>
      <c r="L20" s="71"/>
      <c r="N20" s="247"/>
      <c r="O20" s="247"/>
      <c r="P20" s="247"/>
    </row>
    <row r="21" spans="2:16" ht="20.149999999999999" customHeight="1" x14ac:dyDescent="0.45">
      <c r="B21" s="21"/>
      <c r="C21" s="45"/>
      <c r="D21" s="69"/>
      <c r="E21" s="69"/>
      <c r="F21" s="69"/>
      <c r="G21" s="99"/>
      <c r="H21" s="241"/>
      <c r="I21" s="322"/>
      <c r="J21" s="322"/>
      <c r="K21" s="22"/>
      <c r="L21" s="71"/>
      <c r="N21" s="247"/>
      <c r="O21" s="247"/>
      <c r="P21" s="247"/>
    </row>
    <row r="22" spans="2:16" ht="20.149999999999999" customHeight="1" x14ac:dyDescent="0.45">
      <c r="B22" s="21"/>
      <c r="C22" s="45"/>
      <c r="D22" s="430"/>
      <c r="E22" s="430"/>
      <c r="F22" s="430"/>
      <c r="G22" s="99"/>
      <c r="H22" s="241"/>
      <c r="I22" s="432"/>
      <c r="J22" s="432"/>
      <c r="K22" s="22"/>
      <c r="L22" s="71"/>
      <c r="N22" s="247"/>
      <c r="O22" s="247"/>
      <c r="P22" s="247"/>
    </row>
    <row r="23" spans="2:16" ht="20.149999999999999" customHeight="1" x14ac:dyDescent="0.45">
      <c r="B23" s="21"/>
      <c r="C23" s="45"/>
      <c r="D23" s="430"/>
      <c r="E23" s="430"/>
      <c r="F23" s="430"/>
      <c r="G23" s="99"/>
      <c r="H23" s="241"/>
      <c r="I23" s="432"/>
      <c r="J23" s="432"/>
      <c r="K23" s="22"/>
      <c r="L23" s="71"/>
      <c r="N23" s="247"/>
      <c r="O23" s="247"/>
      <c r="P23" s="247"/>
    </row>
    <row r="24" spans="2:16" ht="20.149999999999999" customHeight="1" x14ac:dyDescent="0.45">
      <c r="B24" s="21"/>
      <c r="C24" s="45"/>
      <c r="D24" s="430"/>
      <c r="E24" s="430"/>
      <c r="F24" s="430"/>
      <c r="G24" s="99"/>
      <c r="H24" s="241"/>
      <c r="I24" s="432"/>
      <c r="J24" s="432"/>
      <c r="K24" s="22"/>
      <c r="L24" s="71"/>
      <c r="N24" s="247"/>
      <c r="O24" s="247"/>
      <c r="P24" s="247"/>
    </row>
    <row r="25" spans="2:16" ht="20.149999999999999" customHeight="1" x14ac:dyDescent="0.45">
      <c r="B25" s="21"/>
      <c r="G25" s="99"/>
      <c r="H25" s="314"/>
      <c r="I25" s="206"/>
      <c r="J25" s="206"/>
      <c r="K25" s="22"/>
      <c r="L25" s="71"/>
      <c r="N25" s="247"/>
      <c r="O25" s="247"/>
      <c r="P25" s="247"/>
    </row>
    <row r="26" spans="2:16" ht="20.149999999999999" customHeight="1" x14ac:dyDescent="0.45">
      <c r="B26" s="21"/>
      <c r="G26" s="99"/>
      <c r="H26" s="314"/>
      <c r="I26" s="206"/>
      <c r="J26" s="206"/>
      <c r="K26" s="22"/>
      <c r="L26" s="71"/>
      <c r="N26" s="247"/>
      <c r="O26" s="247"/>
      <c r="P26" s="247"/>
    </row>
    <row r="27" spans="2:16" ht="20.149999999999999" customHeight="1" x14ac:dyDescent="0.45">
      <c r="B27" s="21"/>
      <c r="C27" s="305" t="s">
        <v>1499</v>
      </c>
      <c r="E27" s="69"/>
      <c r="F27" s="69"/>
      <c r="G27" s="99"/>
      <c r="H27" s="65"/>
      <c r="I27" s="65"/>
      <c r="J27" s="65"/>
      <c r="K27" s="22"/>
      <c r="L27" s="71"/>
      <c r="N27" s="247"/>
      <c r="O27" s="247"/>
      <c r="P27" s="247"/>
    </row>
    <row r="28" spans="2:16" ht="20.149999999999999" customHeight="1" x14ac:dyDescent="0.45">
      <c r="B28" s="21"/>
      <c r="C28" s="45" t="s">
        <v>1080</v>
      </c>
      <c r="D28" s="430" t="str">
        <f>VLOOKUP(C28,'Sales Master'!B$3:D$643,2,0)</f>
        <v>Fine Sugar 白糖</v>
      </c>
      <c r="E28" s="430"/>
      <c r="F28" s="430"/>
      <c r="G28" s="99">
        <v>1</v>
      </c>
      <c r="H28" s="206" t="str">
        <f>VLOOKUP(C28,'Sales Master'!B$3:F$936,5,0)</f>
        <v>25 KGS</v>
      </c>
      <c r="I28" s="432" t="str">
        <f>VLOOKUP(C28,'Sales Master'!B$3:E$936,4,0)</f>
        <v>MITR PHOL</v>
      </c>
      <c r="J28" s="432"/>
      <c r="K28" s="22">
        <v>31.5</v>
      </c>
      <c r="L28" s="71"/>
      <c r="N28" s="247"/>
      <c r="O28" s="247"/>
      <c r="P28" s="247"/>
    </row>
    <row r="29" spans="2:16" ht="20.149999999999999" customHeight="1" x14ac:dyDescent="0.45">
      <c r="B29" s="21"/>
      <c r="C29" s="45"/>
      <c r="D29" s="430"/>
      <c r="E29" s="430"/>
      <c r="F29" s="430"/>
      <c r="G29" s="99"/>
      <c r="H29" s="241"/>
      <c r="I29" s="432"/>
      <c r="J29" s="432"/>
      <c r="K29" s="22"/>
      <c r="L29" s="71"/>
      <c r="N29" s="247"/>
      <c r="O29" s="247"/>
      <c r="P29" s="247"/>
    </row>
    <row r="30" spans="2:16" ht="20.149999999999999" customHeight="1" x14ac:dyDescent="0.45">
      <c r="B30" s="21"/>
      <c r="C30" s="45"/>
      <c r="D30" s="430"/>
      <c r="E30" s="430"/>
      <c r="F30" s="430"/>
      <c r="G30" s="99"/>
      <c r="H30" s="241"/>
      <c r="I30" s="432"/>
      <c r="J30" s="432"/>
      <c r="K30" s="22"/>
      <c r="L30" s="71"/>
      <c r="N30" s="247"/>
      <c r="O30" s="247"/>
      <c r="P30" s="247"/>
    </row>
    <row r="31" spans="2:16" ht="20.149999999999999" customHeight="1" thickBot="1" x14ac:dyDescent="0.5">
      <c r="B31" s="24"/>
      <c r="C31" s="25"/>
      <c r="D31" s="473"/>
      <c r="E31" s="473"/>
      <c r="F31" s="473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30">
        <f>SUM(L17:L32)</f>
        <v>0</v>
      </c>
      <c r="M33" s="95">
        <f>SUM(P18:P31)-L33*0.02</f>
        <v>-34.930285714285716</v>
      </c>
      <c r="N33" s="248" t="e">
        <f>M33/L33</f>
        <v>#DIV/0!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32">
        <f>L36</f>
        <v>0</v>
      </c>
    </row>
    <row r="35" spans="2:14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114">
        <f>L33/108*100</f>
        <v>0</v>
      </c>
    </row>
    <row r="36" spans="2:14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0.08</v>
      </c>
      <c r="L36" s="44">
        <f>L35*K36</f>
        <v>0</v>
      </c>
    </row>
    <row r="37" spans="2:14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78" t="s">
        <v>21</v>
      </c>
      <c r="K37" s="479"/>
      <c r="L37" s="33">
        <f>L35+L36</f>
        <v>0</v>
      </c>
    </row>
    <row r="38" spans="2:14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4" ht="20.149999999999999" customHeight="1" x14ac:dyDescent="0.45">
      <c r="B39" s="183" t="s">
        <v>749</v>
      </c>
      <c r="L39" s="29"/>
    </row>
    <row r="40" spans="2:14" ht="20.149999999999999" customHeight="1" x14ac:dyDescent="0.45">
      <c r="B40" s="28"/>
      <c r="L40" s="29" t="s">
        <v>334</v>
      </c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34"/>
      <c r="C43" s="35"/>
      <c r="D43" s="35"/>
      <c r="J43" s="35"/>
      <c r="K43" s="35"/>
      <c r="L43" s="36"/>
    </row>
    <row r="44" spans="2:14" ht="20.149999999999999" customHeight="1" x14ac:dyDescent="0.45">
      <c r="B44" s="28" t="s">
        <v>24</v>
      </c>
      <c r="J44" s="60" t="s">
        <v>25</v>
      </c>
      <c r="L44" s="29"/>
    </row>
    <row r="45" spans="2:14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  <row r="329" spans="25:25" x14ac:dyDescent="0.45">
      <c r="Y329" s="60">
        <v>23</v>
      </c>
    </row>
  </sheetData>
  <mergeCells count="32">
    <mergeCell ref="J37:K37"/>
    <mergeCell ref="D31:F31"/>
    <mergeCell ref="J33:K33"/>
    <mergeCell ref="J35:K35"/>
    <mergeCell ref="D30:F30"/>
    <mergeCell ref="I30:J30"/>
    <mergeCell ref="D29:F29"/>
    <mergeCell ref="I29:J29"/>
    <mergeCell ref="D22:F22"/>
    <mergeCell ref="I22:J22"/>
    <mergeCell ref="I23:J23"/>
    <mergeCell ref="D28:F28"/>
    <mergeCell ref="I28:J28"/>
    <mergeCell ref="D23:F23"/>
    <mergeCell ref="D24:F24"/>
    <mergeCell ref="I24:J24"/>
    <mergeCell ref="D18:F18"/>
    <mergeCell ref="I18:J18"/>
    <mergeCell ref="B1:L8"/>
    <mergeCell ref="D17:F17"/>
    <mergeCell ref="I17:J17"/>
    <mergeCell ref="K10:L10"/>
    <mergeCell ref="B11:D11"/>
    <mergeCell ref="F11:H15"/>
    <mergeCell ref="K11:L11"/>
    <mergeCell ref="K15:L15"/>
    <mergeCell ref="B12:D12"/>
    <mergeCell ref="K12:L12"/>
    <mergeCell ref="B13:D13"/>
    <mergeCell ref="K13:L13"/>
    <mergeCell ref="K14:L14"/>
    <mergeCell ref="B14:D14"/>
  </mergeCells>
  <conditionalFormatting sqref="C27">
    <cfRule type="duplicateValues" dxfId="123" priority="1"/>
  </conditionalFormatting>
  <conditionalFormatting sqref="C28">
    <cfRule type="duplicateValues" dxfId="122" priority="2"/>
  </conditionalFormatting>
  <conditionalFormatting sqref="C29">
    <cfRule type="duplicateValues" dxfId="121" priority="4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E6AC4-5CCF-498D-A74A-8540C886F47E}">
  <sheetPr codeName="Sheet73">
    <tabColor rgb="FFFFC000"/>
    <pageSetUpPr fitToPage="1"/>
  </sheetPr>
  <dimension ref="B1:W49"/>
  <sheetViews>
    <sheetView topLeftCell="A26" zoomScaleNormal="100" workbookViewId="0">
      <selection activeCell="B1" sqref="B1:L49"/>
    </sheetView>
  </sheetViews>
  <sheetFormatPr defaultColWidth="12.54296875" defaultRowHeight="17" x14ac:dyDescent="0.4"/>
  <cols>
    <col min="1" max="3" width="12.54296875" style="144"/>
    <col min="4" max="4" width="14.54296875" style="144" customWidth="1"/>
    <col min="5" max="5" width="3.54296875" style="144" customWidth="1"/>
    <col min="6" max="6" width="14.54296875" style="144" customWidth="1"/>
    <col min="7" max="7" width="8.54296875" style="144" customWidth="1"/>
    <col min="8" max="8" width="19.26953125" style="144" customWidth="1"/>
    <col min="9" max="9" width="2.54296875" style="144" customWidth="1"/>
    <col min="10" max="10" width="15.54296875" style="144" customWidth="1"/>
    <col min="11" max="11" width="10.54296875" style="144" customWidth="1"/>
    <col min="12" max="16384" width="12.54296875" style="144"/>
  </cols>
  <sheetData>
    <row r="1" spans="2:18" ht="18.5" customHeight="1" x14ac:dyDescent="0.4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8" ht="18.5" customHeight="1" x14ac:dyDescent="0.4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8" ht="18.5" customHeight="1" x14ac:dyDescent="0.4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8" ht="18.5" customHeight="1" x14ac:dyDescent="0.4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8" ht="18.5" customHeight="1" x14ac:dyDescent="0.4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8" ht="18.5" customHeight="1" x14ac:dyDescent="0.4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8" ht="18.5" customHeight="1" x14ac:dyDescent="0.4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8" ht="19" customHeight="1" thickBot="1" x14ac:dyDescent="0.4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8" ht="19" thickBot="1" x14ac:dyDescent="0.5">
      <c r="B9" s="12"/>
      <c r="C9" s="60"/>
      <c r="D9" s="60"/>
      <c r="E9" s="60"/>
      <c r="F9" s="60"/>
      <c r="G9" s="60"/>
      <c r="H9" s="60"/>
      <c r="I9" s="60"/>
      <c r="J9" s="60"/>
      <c r="K9" s="60"/>
      <c r="L9" s="60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443</v>
      </c>
      <c r="I10" s="60"/>
      <c r="J10" s="17" t="s">
        <v>26</v>
      </c>
      <c r="K10" s="455">
        <v>202310700</v>
      </c>
      <c r="L10" s="456"/>
    </row>
    <row r="11" spans="2:18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甜品站                                                        335 Smith Street. Chinatown Complex. #02-146 Singapore 050335.</v>
      </c>
      <c r="G11" s="445"/>
      <c r="H11" s="446"/>
      <c r="I11" s="60"/>
      <c r="J11" s="18" t="s">
        <v>9</v>
      </c>
      <c r="K11" s="460">
        <v>45230</v>
      </c>
      <c r="L11" s="461"/>
    </row>
    <row r="12" spans="2:18" ht="20.149999999999999" customHeight="1" x14ac:dyDescent="0.45">
      <c r="B12" s="462"/>
      <c r="C12" s="463"/>
      <c r="D12" s="464"/>
      <c r="E12" s="61"/>
      <c r="F12" s="447"/>
      <c r="G12" s="448"/>
      <c r="H12" s="449"/>
      <c r="I12" s="60"/>
      <c r="J12" s="18" t="s">
        <v>81</v>
      </c>
      <c r="K12" s="465" t="s">
        <v>312</v>
      </c>
      <c r="L12" s="466"/>
    </row>
    <row r="13" spans="2:18" ht="20.149999999999999" customHeight="1" x14ac:dyDescent="0.45">
      <c r="B13" s="462"/>
      <c r="C13" s="463"/>
      <c r="D13" s="464"/>
      <c r="E13" s="61"/>
      <c r="F13" s="447"/>
      <c r="G13" s="448"/>
      <c r="H13" s="449"/>
      <c r="I13" s="60"/>
      <c r="J13" s="18" t="s">
        <v>10</v>
      </c>
      <c r="K13" s="465" t="s">
        <v>374</v>
      </c>
      <c r="L13" s="466"/>
    </row>
    <row r="14" spans="2:18" ht="20.149999999999999" customHeight="1" x14ac:dyDescent="0.45">
      <c r="B14" s="462"/>
      <c r="C14" s="463"/>
      <c r="D14" s="464"/>
      <c r="E14" s="61"/>
      <c r="F14" s="447"/>
      <c r="G14" s="448"/>
      <c r="H14" s="449"/>
      <c r="I14" s="60"/>
      <c r="J14" s="18" t="s">
        <v>27</v>
      </c>
      <c r="K14" s="465" t="s">
        <v>14</v>
      </c>
      <c r="L14" s="466"/>
      <c r="N14" s="507" t="s">
        <v>1220</v>
      </c>
      <c r="O14" s="507"/>
      <c r="P14" s="507"/>
      <c r="Q14" s="507"/>
      <c r="R14" s="507"/>
    </row>
    <row r="15" spans="2:18" ht="18" customHeight="1" thickBot="1" x14ac:dyDescent="0.5">
      <c r="B15" s="467"/>
      <c r="C15" s="468"/>
      <c r="D15" s="469"/>
      <c r="E15" s="14"/>
      <c r="F15" s="450"/>
      <c r="G15" s="451"/>
      <c r="H15" s="452"/>
      <c r="I15" s="60"/>
      <c r="J15" s="19" t="s">
        <v>11</v>
      </c>
      <c r="K15" s="483"/>
      <c r="L15" s="484"/>
    </row>
    <row r="16" spans="2:18" ht="19" thickBot="1" x14ac:dyDescent="0.5">
      <c r="B16" s="60"/>
      <c r="C16" s="60"/>
      <c r="D16" s="60"/>
      <c r="E16" s="60"/>
      <c r="F16" s="60"/>
      <c r="G16" s="60"/>
      <c r="H16" s="60"/>
      <c r="I16" s="60"/>
      <c r="J16" s="45"/>
      <c r="K16" s="60"/>
      <c r="L16" s="60"/>
    </row>
    <row r="17" spans="2:23" ht="30" customHeight="1" thickBot="1" x14ac:dyDescent="0.45">
      <c r="B17" s="281" t="s">
        <v>2</v>
      </c>
      <c r="C17" s="282" t="s">
        <v>3</v>
      </c>
      <c r="D17" s="508" t="s">
        <v>4</v>
      </c>
      <c r="E17" s="509"/>
      <c r="F17" s="510"/>
      <c r="G17" s="283" t="s">
        <v>335</v>
      </c>
      <c r="H17" s="282" t="s">
        <v>28</v>
      </c>
      <c r="I17" s="508" t="s">
        <v>57</v>
      </c>
      <c r="J17" s="510"/>
      <c r="K17" s="282" t="s">
        <v>5</v>
      </c>
      <c r="L17" s="284" t="s">
        <v>6</v>
      </c>
      <c r="M17" s="285"/>
      <c r="N17" s="286" t="s">
        <v>765</v>
      </c>
      <c r="O17" s="286" t="s">
        <v>1243</v>
      </c>
      <c r="P17" s="286" t="s">
        <v>1244</v>
      </c>
    </row>
    <row r="18" spans="2:23" ht="20.149999999999999" customHeight="1" x14ac:dyDescent="0.45">
      <c r="B18" s="401"/>
      <c r="C18" s="338" t="s">
        <v>831</v>
      </c>
      <c r="D18" s="511" t="str">
        <f>VLOOKUP(C18,'Sales Master'!B$3:D$644,2,0)</f>
        <v>Chendol 浆咯</v>
      </c>
      <c r="E18" s="511"/>
      <c r="F18" s="511"/>
      <c r="G18" s="45">
        <v>1</v>
      </c>
      <c r="H18" s="206" t="str">
        <f>VLOOKUP(C18,'Sales Master'!B$3:F$936,5,0)</f>
        <v>NW(2.2:0.8) 3 KGS/ Bag</v>
      </c>
      <c r="I18" s="491" t="str">
        <f>VLOOKUP(C18,'Sales Master'!B$3:E$936,4,0)</f>
        <v>DO!</v>
      </c>
      <c r="J18" s="491"/>
      <c r="K18" s="22">
        <f>VLOOKUP(C18,'Sales Master'!B$3:M$527,12,0)</f>
        <v>7</v>
      </c>
      <c r="L18" s="71">
        <f>K18*G18</f>
        <v>7</v>
      </c>
      <c r="M18" s="60"/>
      <c r="N18" s="247">
        <f>VLOOKUP(C18,'Sales Master'!$B$3:$FA$3051,156,0)</f>
        <v>2.44</v>
      </c>
      <c r="O18" s="247">
        <f>K18-N18</f>
        <v>4.5600000000000005</v>
      </c>
      <c r="P18" s="247">
        <f>O18*G18</f>
        <v>4.5600000000000005</v>
      </c>
      <c r="R18" s="144">
        <v>1</v>
      </c>
    </row>
    <row r="19" spans="2:23" ht="20.149999999999999" customHeight="1" x14ac:dyDescent="0.45">
      <c r="B19" s="287"/>
      <c r="C19" s="338" t="s">
        <v>816</v>
      </c>
      <c r="D19" s="430" t="str">
        <f>VLOOKUP(C19,'Sales Master'!B$3:D$644,2,0)</f>
        <v xml:space="preserve">Fresh Soursop 红毛榴莲 </v>
      </c>
      <c r="E19" s="430"/>
      <c r="F19" s="430"/>
      <c r="G19" s="45">
        <v>1</v>
      </c>
      <c r="H19" s="206" t="str">
        <f>VLOOKUP(C19,'Sales Master'!B$3:F$936,5,0)</f>
        <v>5 KGS/ Pkt包</v>
      </c>
      <c r="I19" s="432" t="str">
        <f>VLOOKUP(C19,'Sales Master'!B$3:E$936,4,0)</f>
        <v>DO!</v>
      </c>
      <c r="J19" s="432"/>
      <c r="K19" s="22">
        <f>VLOOKUP(C19,'Sales Master'!B$3:M$527,12,0)</f>
        <v>34</v>
      </c>
      <c r="L19" s="71">
        <f t="shared" ref="L19" si="0">K19*G19</f>
        <v>34</v>
      </c>
      <c r="M19" s="60"/>
      <c r="N19" s="247">
        <f>VLOOKUP(C19,'Sales Master'!$B$3:$FA$3051,156,0)</f>
        <v>23.67</v>
      </c>
      <c r="O19" s="247">
        <f t="shared" ref="O19" si="1">K19-N19</f>
        <v>10.329999999999998</v>
      </c>
      <c r="P19" s="247">
        <f t="shared" ref="P19" si="2">O19*G19</f>
        <v>10.329999999999998</v>
      </c>
      <c r="S19" s="144" t="s">
        <v>33</v>
      </c>
      <c r="T19" s="144" t="s">
        <v>401</v>
      </c>
      <c r="V19" s="144">
        <v>18</v>
      </c>
      <c r="W19" s="144">
        <v>18</v>
      </c>
    </row>
    <row r="20" spans="2:23" ht="20.149999999999999" customHeight="1" x14ac:dyDescent="0.45">
      <c r="B20" s="287"/>
      <c r="C20" s="338" t="s">
        <v>820</v>
      </c>
      <c r="D20" s="430" t="str">
        <f>VLOOKUP(C20,'Sales Master'!B$3:D$644,2,0)</f>
        <v>Durian Puree 榴莲浆</v>
      </c>
      <c r="E20" s="430"/>
      <c r="F20" s="430"/>
      <c r="G20" s="45">
        <v>2</v>
      </c>
      <c r="H20" s="206" t="str">
        <f>VLOOKUP(C20,'Sales Master'!B$3:F$936,5,0)</f>
        <v>Box/盒</v>
      </c>
      <c r="I20" s="432" t="str">
        <f>VLOOKUP(C20,'Sales Master'!B$3:E$936,4,0)</f>
        <v>DO!</v>
      </c>
      <c r="J20" s="432"/>
      <c r="K20" s="22">
        <f>VLOOKUP(C20,'Sales Master'!B$3:M$527,12,0)</f>
        <v>8</v>
      </c>
      <c r="L20" s="71">
        <f t="shared" ref="L20" si="3">K20*G20</f>
        <v>16</v>
      </c>
      <c r="M20" s="60"/>
      <c r="N20" s="247">
        <f>VLOOKUP(C20,'Sales Master'!$B$3:$FA$3051,156,0)</f>
        <v>4.71</v>
      </c>
      <c r="O20" s="247">
        <f t="shared" ref="O20" si="4">K20-N20</f>
        <v>3.29</v>
      </c>
      <c r="P20" s="247">
        <f t="shared" ref="P20" si="5">O20*G20</f>
        <v>6.58</v>
      </c>
    </row>
    <row r="21" spans="2:23" ht="20.149999999999999" customHeight="1" x14ac:dyDescent="0.45">
      <c r="B21" s="287"/>
      <c r="C21" s="338" t="s">
        <v>849</v>
      </c>
      <c r="D21" s="430" t="str">
        <f>VLOOKUP(C21,'Sales Master'!B$3:D$644,2,0)</f>
        <v>Tadpole 蝌蚪</v>
      </c>
      <c r="E21" s="430"/>
      <c r="F21" s="430"/>
      <c r="G21" s="45">
        <v>1</v>
      </c>
      <c r="H21" s="206" t="str">
        <f>VLOOKUP(C21,'Sales Master'!B$3:F$936,5,0)</f>
        <v>1 kg/Bag</v>
      </c>
      <c r="I21" s="432" t="str">
        <f>VLOOKUP(C21,'Sales Master'!B$3:E$936,4,0)</f>
        <v>FJ</v>
      </c>
      <c r="J21" s="432"/>
      <c r="K21" s="22">
        <f>VLOOKUP(C21,'Sales Master'!B$3:M$527,12,0)</f>
        <v>6.5</v>
      </c>
      <c r="L21" s="71">
        <f>K21*G21</f>
        <v>6.5</v>
      </c>
      <c r="M21" s="60"/>
      <c r="N21" s="247">
        <f>VLOOKUP(C21,'Sales Master'!$B$3:$FA$3051,156,0)</f>
        <v>5.5</v>
      </c>
      <c r="O21" s="247">
        <f>K21-N21</f>
        <v>1</v>
      </c>
      <c r="P21" s="247">
        <f>O21*G21</f>
        <v>1</v>
      </c>
    </row>
    <row r="22" spans="2:23" ht="20.149999999999999" customHeight="1" x14ac:dyDescent="0.45">
      <c r="B22" s="287"/>
      <c r="C22" s="338" t="s">
        <v>916</v>
      </c>
      <c r="D22" s="430" t="str">
        <f>VLOOKUP(C22,'Sales Master'!B$3:D$644,2,0)</f>
        <v>Atap Seeds in Syrup 亚嗒子</v>
      </c>
      <c r="E22" s="430"/>
      <c r="F22" s="430"/>
      <c r="G22" s="45">
        <v>3</v>
      </c>
      <c r="H22" s="206" t="str">
        <f>VLOOKUP(C22,'Sales Master'!B$3:F$936,5,0)</f>
        <v>NW (1.6:0.6) 2.2 kgs</v>
      </c>
      <c r="I22" s="432" t="str">
        <f>VLOOKUP(C22,'Sales Master'!B$3:E$936,4,0)</f>
        <v>2P</v>
      </c>
      <c r="J22" s="432"/>
      <c r="K22" s="22">
        <f>VLOOKUP(C22,'Sales Master'!B$3:M$527,12,0)</f>
        <v>10.5</v>
      </c>
      <c r="L22" s="71">
        <f>K22*G22</f>
        <v>31.5</v>
      </c>
      <c r="M22" s="60"/>
      <c r="N22" s="247">
        <f>VLOOKUP(C22,'Sales Master'!$B$3:$FA$3051,156,0)</f>
        <v>8.1462857142857139</v>
      </c>
      <c r="O22" s="247">
        <f>K22-N22</f>
        <v>2.3537142857142861</v>
      </c>
      <c r="P22" s="247">
        <f>O22*G22</f>
        <v>7.0611428571428583</v>
      </c>
      <c r="Q22" s="340"/>
      <c r="R22" s="340"/>
      <c r="S22" s="144" t="s">
        <v>33</v>
      </c>
      <c r="T22" s="144" t="s">
        <v>31</v>
      </c>
      <c r="V22" s="144">
        <v>6</v>
      </c>
      <c r="W22" s="144">
        <v>6</v>
      </c>
    </row>
    <row r="23" spans="2:23" ht="20.149999999999999" customHeight="1" x14ac:dyDescent="0.45">
      <c r="B23" s="287"/>
      <c r="C23" s="338" t="s">
        <v>1027</v>
      </c>
      <c r="D23" s="430" t="str">
        <f>VLOOKUP(C23,'Sales Master'!B$3:D$644,2,0)</f>
        <v>Longan in Syrup 龙眼</v>
      </c>
      <c r="E23" s="430"/>
      <c r="F23" s="430"/>
      <c r="G23" s="45">
        <v>1</v>
      </c>
      <c r="H23" s="206" t="str">
        <f>VLOOKUP(C23,'Sales Master'!B$3:F$936,5,0)</f>
        <v>(565gm x 12)/箱</v>
      </c>
      <c r="I23" s="432" t="str">
        <f>VLOOKUP(C23,'Sales Master'!B$3:E$936,4,0)</f>
        <v>YiFong</v>
      </c>
      <c r="J23" s="432"/>
      <c r="K23" s="22">
        <f>VLOOKUP(C23,'Sales Master'!B$3:M$527,12,0)</f>
        <v>25</v>
      </c>
      <c r="L23" s="71">
        <f t="shared" ref="L23" si="6">K23*G23</f>
        <v>25</v>
      </c>
      <c r="M23" s="60"/>
      <c r="N23" s="247">
        <f>VLOOKUP(C23,'Sales Master'!$B$3:$FA$3051,156,0)</f>
        <v>19.534883720930232</v>
      </c>
      <c r="O23" s="247">
        <f t="shared" ref="O23" si="7">K23-N23</f>
        <v>5.4651162790697683</v>
      </c>
      <c r="P23" s="247">
        <f t="shared" ref="P23" si="8">O23*G23</f>
        <v>5.4651162790697683</v>
      </c>
    </row>
    <row r="24" spans="2:23" ht="20.149999999999999" customHeight="1" x14ac:dyDescent="0.45">
      <c r="B24" s="287"/>
      <c r="C24" s="338" t="s">
        <v>1085</v>
      </c>
      <c r="D24" s="430" t="str">
        <f>VLOOKUP(C24,'Sales Master'!B$3:D$644,2,0)</f>
        <v>Coconut Sugar 椰糖</v>
      </c>
      <c r="E24" s="430"/>
      <c r="F24" s="430"/>
      <c r="G24" s="45">
        <v>1</v>
      </c>
      <c r="H24" s="206" t="str">
        <f>VLOOKUP(C24,'Sales Master'!B$3:F$936,5,0)</f>
        <v>10kgs/ctn</v>
      </c>
      <c r="I24" s="432" t="str">
        <f>VLOOKUP(C24,'Sales Master'!B$3:E$936,4,0)</f>
        <v>2P</v>
      </c>
      <c r="J24" s="432"/>
      <c r="K24" s="22">
        <f>VLOOKUP(C24,'Sales Master'!B$3:M$527,12,0)</f>
        <v>38</v>
      </c>
      <c r="L24" s="71">
        <f>K24*G24</f>
        <v>38</v>
      </c>
      <c r="M24" s="60"/>
      <c r="N24" s="247">
        <f>VLOOKUP(C24,'Sales Master'!$B$3:$FA$3051,156,0)</f>
        <v>31</v>
      </c>
      <c r="O24" s="247">
        <f>K24-N24</f>
        <v>7</v>
      </c>
      <c r="P24" s="247">
        <f>O24*G24</f>
        <v>7</v>
      </c>
      <c r="S24" s="144" t="s">
        <v>33</v>
      </c>
    </row>
    <row r="25" spans="2:23" ht="20.149999999999999" customHeight="1" x14ac:dyDescent="0.45">
      <c r="B25" s="287"/>
      <c r="C25" s="338" t="s">
        <v>1089</v>
      </c>
      <c r="D25" s="430" t="str">
        <f>VLOOKUP(C25,'Sales Master'!B$3:D$644,2,0)</f>
        <v>Candy Sugar 片糖</v>
      </c>
      <c r="E25" s="430"/>
      <c r="F25" s="430"/>
      <c r="G25" s="45">
        <v>1</v>
      </c>
      <c r="H25" s="206" t="str">
        <f>VLOOKUP(C25,'Sales Master'!B$3:F$936,5,0)</f>
        <v>400gms x 50pkt/ctn</v>
      </c>
      <c r="I25" s="432" t="str">
        <f>VLOOKUP(C25,'Sales Master'!B$3:E$936,4,0)</f>
        <v>-</v>
      </c>
      <c r="J25" s="432"/>
      <c r="K25" s="22">
        <f>VLOOKUP(C25,'Sales Master'!B$3:M$527,12,0)</f>
        <v>48</v>
      </c>
      <c r="L25" s="71">
        <f>K25*G25</f>
        <v>48</v>
      </c>
      <c r="M25" s="60"/>
      <c r="N25" s="247">
        <f>VLOOKUP(C25,'Sales Master'!$B$3:$FA$3051,156,0)</f>
        <v>40</v>
      </c>
      <c r="O25" s="247">
        <f>K25-N25</f>
        <v>8</v>
      </c>
      <c r="P25" s="247">
        <f>O25*G25</f>
        <v>8</v>
      </c>
      <c r="S25" s="144" t="s">
        <v>33</v>
      </c>
    </row>
    <row r="26" spans="2:23" ht="20.149999999999999" customHeight="1" x14ac:dyDescent="0.45">
      <c r="B26" s="287"/>
      <c r="C26" s="338" t="s">
        <v>858</v>
      </c>
      <c r="D26" s="430" t="str">
        <f>VLOOKUP(C26,'Sales Master'!B$3:D$644,2,0)</f>
        <v>Tapioca木薯</v>
      </c>
      <c r="E26" s="430"/>
      <c r="F26" s="430"/>
      <c r="G26" s="45">
        <v>4</v>
      </c>
      <c r="H26" s="206" t="str">
        <f>VLOOKUP(C26,'Sales Master'!B$3:F$936,5,0)</f>
        <v>1 kg</v>
      </c>
      <c r="I26" s="432" t="str">
        <f>VLOOKUP(C26,'Sales Master'!B$3:E$936,4,0)</f>
        <v>Malaysia</v>
      </c>
      <c r="J26" s="432"/>
      <c r="K26" s="22">
        <f>VLOOKUP(C26,'Sales Master'!B$3:M$527,12,0)</f>
        <v>2</v>
      </c>
      <c r="L26" s="71">
        <f>K26*G26</f>
        <v>8</v>
      </c>
      <c r="M26" s="60"/>
      <c r="N26" s="247">
        <f>VLOOKUP(C26,'Sales Master'!$B$3:$FA$3051,156,0)</f>
        <v>1.1000000000000001</v>
      </c>
      <c r="O26" s="247">
        <f>K26-N26</f>
        <v>0.89999999999999991</v>
      </c>
      <c r="P26" s="247">
        <f>O26*G26</f>
        <v>3.5999999999999996</v>
      </c>
      <c r="S26" s="144" t="s">
        <v>33</v>
      </c>
    </row>
    <row r="27" spans="2:23" ht="20.149999999999999" customHeight="1" x14ac:dyDescent="0.45">
      <c r="B27" s="287"/>
      <c r="C27" s="338"/>
      <c r="D27" s="430"/>
      <c r="E27" s="430"/>
      <c r="F27" s="430"/>
      <c r="G27" s="45"/>
      <c r="H27" s="206"/>
      <c r="I27" s="432"/>
      <c r="J27" s="432"/>
      <c r="K27" s="22"/>
      <c r="L27" s="71"/>
      <c r="M27" s="60"/>
      <c r="N27" s="247"/>
      <c r="O27" s="247"/>
      <c r="P27" s="247"/>
      <c r="S27" s="144" t="s">
        <v>33</v>
      </c>
      <c r="W27" s="144">
        <v>44</v>
      </c>
    </row>
    <row r="28" spans="2:23" ht="20.149999999999999" customHeight="1" x14ac:dyDescent="0.45">
      <c r="B28" s="287"/>
      <c r="C28" s="45"/>
      <c r="D28" s="430"/>
      <c r="E28" s="430"/>
      <c r="F28" s="430"/>
      <c r="G28" s="45"/>
      <c r="H28" s="206"/>
      <c r="I28" s="432"/>
      <c r="J28" s="432"/>
      <c r="K28" s="22"/>
      <c r="L28" s="71"/>
      <c r="M28" s="60"/>
      <c r="N28" s="247"/>
      <c r="O28" s="247"/>
      <c r="P28" s="247"/>
    </row>
    <row r="29" spans="2:23" ht="20.149999999999999" customHeight="1" x14ac:dyDescent="0.45">
      <c r="B29" s="287"/>
      <c r="C29" s="45"/>
      <c r="D29" s="69"/>
      <c r="E29" s="69"/>
      <c r="F29" s="69"/>
      <c r="G29" s="45"/>
      <c r="H29" s="206"/>
      <c r="I29" s="322"/>
      <c r="J29" s="322"/>
      <c r="K29" s="22"/>
      <c r="L29" s="71"/>
      <c r="M29" s="60"/>
      <c r="N29" s="247"/>
      <c r="O29" s="247"/>
      <c r="P29" s="247"/>
    </row>
    <row r="30" spans="2:23" ht="20.149999999999999" customHeight="1" x14ac:dyDescent="0.45">
      <c r="B30" s="287"/>
      <c r="C30" s="45"/>
      <c r="D30" s="69"/>
      <c r="E30" s="69"/>
      <c r="F30" s="69"/>
      <c r="G30" s="45"/>
      <c r="H30" s="206"/>
      <c r="I30" s="322"/>
      <c r="J30" s="322"/>
      <c r="K30" s="22"/>
      <c r="L30" s="71"/>
      <c r="M30" s="60"/>
      <c r="N30" s="247"/>
      <c r="O30" s="247"/>
      <c r="P30" s="247"/>
    </row>
    <row r="31" spans="2:23" ht="20.149999999999999" customHeight="1" x14ac:dyDescent="0.45">
      <c r="B31" s="287"/>
      <c r="C31" s="305" t="s">
        <v>1738</v>
      </c>
      <c r="D31" s="69"/>
      <c r="E31" s="69"/>
      <c r="F31" s="69"/>
      <c r="G31" s="99"/>
      <c r="H31" s="65"/>
      <c r="I31" s="65"/>
      <c r="J31" s="65"/>
      <c r="K31" s="22"/>
      <c r="L31" s="71"/>
      <c r="M31" s="60"/>
      <c r="N31" s="247"/>
      <c r="O31" s="247"/>
      <c r="P31" s="247"/>
    </row>
    <row r="32" spans="2:23" ht="20.149999999999999" customHeight="1" x14ac:dyDescent="0.45">
      <c r="B32" s="287"/>
      <c r="C32" s="338" t="s">
        <v>1080</v>
      </c>
      <c r="D32" s="430" t="str">
        <f>VLOOKUP(C32,'Sales Master'!B$3:D$644,2,0)</f>
        <v>Fine Sugar 白糖</v>
      </c>
      <c r="E32" s="430"/>
      <c r="F32" s="430"/>
      <c r="G32" s="45">
        <v>1</v>
      </c>
      <c r="H32" s="206" t="str">
        <f>VLOOKUP(C32,'Sales Master'!B$3:F$936,5,0)</f>
        <v>25 KGS</v>
      </c>
      <c r="I32" s="432" t="str">
        <f>VLOOKUP(C32,'Sales Master'!B$3:E$936,4,0)</f>
        <v>MITR PHOL</v>
      </c>
      <c r="J32" s="432"/>
      <c r="K32" s="22">
        <v>34</v>
      </c>
      <c r="L32" s="71"/>
      <c r="N32" s="290"/>
      <c r="O32" s="290"/>
      <c r="P32" s="290"/>
    </row>
    <row r="33" spans="2:16" ht="20.149999999999999" customHeight="1" x14ac:dyDescent="0.45">
      <c r="B33" s="287"/>
      <c r="C33" s="338"/>
      <c r="D33" s="430"/>
      <c r="E33" s="430"/>
      <c r="F33" s="430"/>
      <c r="G33" s="45"/>
      <c r="H33" s="206"/>
      <c r="I33" s="432"/>
      <c r="J33" s="432"/>
      <c r="K33" s="22"/>
      <c r="L33" s="71"/>
      <c r="N33" s="290"/>
      <c r="O33" s="290"/>
      <c r="P33" s="290"/>
    </row>
    <row r="34" spans="2:16" ht="20.149999999999999" customHeight="1" x14ac:dyDescent="0.45">
      <c r="B34" s="287"/>
      <c r="C34" s="338"/>
      <c r="D34" s="430"/>
      <c r="E34" s="430"/>
      <c r="F34" s="430"/>
      <c r="G34" s="45"/>
      <c r="H34" s="206"/>
      <c r="I34" s="432"/>
      <c r="J34" s="432"/>
      <c r="K34" s="22"/>
      <c r="L34" s="71"/>
      <c r="N34" s="290"/>
      <c r="O34" s="290"/>
      <c r="P34" s="290"/>
    </row>
    <row r="35" spans="2:16" ht="20.149999999999999" customHeight="1" thickBot="1" x14ac:dyDescent="0.45">
      <c r="B35" s="292"/>
      <c r="C35" s="279"/>
      <c r="D35" s="506"/>
      <c r="E35" s="506"/>
      <c r="F35" s="506"/>
      <c r="G35" s="279"/>
      <c r="H35" s="279"/>
      <c r="I35" s="279"/>
      <c r="J35" s="279"/>
      <c r="K35" s="293"/>
      <c r="L35" s="294"/>
    </row>
    <row r="36" spans="2:16" ht="20.149999999999999" customHeight="1" thickBot="1" x14ac:dyDescent="0.45">
      <c r="B36" s="295"/>
      <c r="L36" s="296"/>
    </row>
    <row r="37" spans="2:16" ht="20.149999999999999" customHeight="1" x14ac:dyDescent="0.45">
      <c r="B37" s="297" t="s">
        <v>16</v>
      </c>
      <c r="C37" s="150"/>
      <c r="D37" s="150"/>
      <c r="E37" s="150"/>
      <c r="F37" s="150"/>
      <c r="G37" s="150"/>
      <c r="H37" s="150"/>
      <c r="I37" s="150"/>
      <c r="J37" s="474" t="s">
        <v>13</v>
      </c>
      <c r="K37" s="475"/>
      <c r="L37" s="30">
        <f>SUM(L16:L36)</f>
        <v>214</v>
      </c>
      <c r="M37" s="95">
        <f>SUM(P18:P35)</f>
        <v>53.59625913621263</v>
      </c>
      <c r="N37" s="406">
        <f>M37-L38</f>
        <v>37.744407284360776</v>
      </c>
    </row>
    <row r="38" spans="2:16" ht="20.149999999999999" customHeight="1" x14ac:dyDescent="0.45">
      <c r="B38" s="297" t="s">
        <v>17</v>
      </c>
      <c r="C38" s="150"/>
      <c r="D38" s="150"/>
      <c r="E38" s="150"/>
      <c r="F38" s="150"/>
      <c r="G38" s="150"/>
      <c r="H38" s="150"/>
      <c r="I38" s="150"/>
      <c r="J38" s="110" t="s">
        <v>553</v>
      </c>
      <c r="K38" s="113">
        <v>6.54E-2</v>
      </c>
      <c r="L38" s="32">
        <f>L40</f>
        <v>15.851851851851853</v>
      </c>
      <c r="M38" s="60"/>
    </row>
    <row r="39" spans="2:16" ht="20.149999999999999" customHeight="1" x14ac:dyDescent="0.45">
      <c r="B39" s="297" t="s">
        <v>18</v>
      </c>
      <c r="C39" s="150"/>
      <c r="D39" s="150"/>
      <c r="E39" s="150"/>
      <c r="F39" s="150"/>
      <c r="G39" s="150"/>
      <c r="H39" s="150"/>
      <c r="I39" s="150"/>
      <c r="J39" s="476" t="s">
        <v>555</v>
      </c>
      <c r="K39" s="477"/>
      <c r="L39" s="114">
        <f>L37/108*100</f>
        <v>198.14814814814815</v>
      </c>
      <c r="M39" s="60"/>
    </row>
    <row r="40" spans="2:16" ht="20.149999999999999" customHeight="1" x14ac:dyDescent="0.45">
      <c r="B40" s="297" t="s">
        <v>22</v>
      </c>
      <c r="C40" s="150"/>
      <c r="D40" s="150"/>
      <c r="E40" s="150"/>
      <c r="F40" s="150"/>
      <c r="G40" s="150"/>
      <c r="H40" s="150"/>
      <c r="I40" s="150"/>
      <c r="J40" s="111" t="s">
        <v>554</v>
      </c>
      <c r="K40" s="112">
        <v>0.08</v>
      </c>
      <c r="L40" s="44">
        <f>L39*K40</f>
        <v>15.851851851851853</v>
      </c>
      <c r="M40" s="60"/>
    </row>
    <row r="41" spans="2:16" ht="20.149999999999999" customHeight="1" thickBot="1" x14ac:dyDescent="0.5">
      <c r="B41" s="297" t="s">
        <v>748</v>
      </c>
      <c r="C41" s="150"/>
      <c r="D41" s="150"/>
      <c r="E41" s="150"/>
      <c r="F41" s="150"/>
      <c r="G41" s="150"/>
      <c r="H41" s="150"/>
      <c r="I41" s="150"/>
      <c r="J41" s="478" t="s">
        <v>21</v>
      </c>
      <c r="K41" s="479"/>
      <c r="L41" s="33">
        <f>L39+L40</f>
        <v>214</v>
      </c>
      <c r="M41" s="60"/>
    </row>
    <row r="42" spans="2:16" ht="20.149999999999999" customHeight="1" x14ac:dyDescent="0.4">
      <c r="B42" s="297" t="s">
        <v>23</v>
      </c>
      <c r="C42" s="150"/>
      <c r="D42" s="150"/>
      <c r="E42" s="150"/>
      <c r="F42" s="150"/>
      <c r="G42" s="150"/>
      <c r="H42" s="150"/>
      <c r="I42" s="150"/>
      <c r="L42" s="296"/>
    </row>
    <row r="43" spans="2:16" ht="20.149999999999999" customHeight="1" x14ac:dyDescent="0.4">
      <c r="B43" s="299" t="s">
        <v>749</v>
      </c>
      <c r="L43" s="296"/>
    </row>
    <row r="44" spans="2:16" ht="20.149999999999999" customHeight="1" x14ac:dyDescent="0.4">
      <c r="B44" s="295"/>
      <c r="L44" s="296"/>
    </row>
    <row r="45" spans="2:16" ht="20.149999999999999" customHeight="1" x14ac:dyDescent="0.4">
      <c r="B45" s="295"/>
      <c r="L45" s="296"/>
    </row>
    <row r="46" spans="2:16" ht="20.149999999999999" customHeight="1" x14ac:dyDescent="0.4">
      <c r="B46" s="295"/>
      <c r="L46" s="296"/>
    </row>
    <row r="47" spans="2:16" ht="20.149999999999999" customHeight="1" x14ac:dyDescent="0.4">
      <c r="B47" s="300"/>
      <c r="C47" s="151"/>
      <c r="D47" s="151"/>
      <c r="J47" s="151"/>
      <c r="K47" s="151"/>
      <c r="L47" s="301"/>
    </row>
    <row r="48" spans="2:16" ht="20.149999999999999" customHeight="1" x14ac:dyDescent="0.4">
      <c r="B48" s="295" t="s">
        <v>24</v>
      </c>
      <c r="J48" s="144" t="s">
        <v>25</v>
      </c>
      <c r="L48" s="296"/>
    </row>
    <row r="49" spans="2:12" ht="17.5" thickBot="1" x14ac:dyDescent="0.45">
      <c r="B49" s="302"/>
      <c r="C49" s="152"/>
      <c r="D49" s="152"/>
      <c r="E49" s="152"/>
      <c r="F49" s="152"/>
      <c r="G49" s="152"/>
      <c r="H49" s="152"/>
      <c r="I49" s="152"/>
      <c r="J49" s="152"/>
      <c r="K49" s="152"/>
      <c r="L49" s="303"/>
    </row>
  </sheetData>
  <mergeCells count="48">
    <mergeCell ref="N14:R14"/>
    <mergeCell ref="I22:J22"/>
    <mergeCell ref="D22:F22"/>
    <mergeCell ref="D17:F17"/>
    <mergeCell ref="I17:J17"/>
    <mergeCell ref="D18:F18"/>
    <mergeCell ref="I18:J18"/>
    <mergeCell ref="K15:L15"/>
    <mergeCell ref="D19:F19"/>
    <mergeCell ref="I19:J19"/>
    <mergeCell ref="D20:F20"/>
    <mergeCell ref="I20:J20"/>
    <mergeCell ref="J41:K41"/>
    <mergeCell ref="D35:F35"/>
    <mergeCell ref="J37:K37"/>
    <mergeCell ref="J39:K39"/>
    <mergeCell ref="D33:F33"/>
    <mergeCell ref="I33:J33"/>
    <mergeCell ref="D34:F34"/>
    <mergeCell ref="I34:J3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32:F32"/>
    <mergeCell ref="I32:J32"/>
    <mergeCell ref="I23:J23"/>
    <mergeCell ref="D21:F21"/>
    <mergeCell ref="I21:J21"/>
    <mergeCell ref="D23:F23"/>
    <mergeCell ref="D24:F24"/>
    <mergeCell ref="I24:J24"/>
    <mergeCell ref="D28:F28"/>
    <mergeCell ref="I28:J28"/>
    <mergeCell ref="D26:F26"/>
    <mergeCell ref="I26:J26"/>
    <mergeCell ref="D25:F25"/>
    <mergeCell ref="I25:J25"/>
    <mergeCell ref="I27:J27"/>
    <mergeCell ref="D27:F27"/>
  </mergeCells>
  <conditionalFormatting sqref="C31">
    <cfRule type="duplicateValues" dxfId="120" priority="1"/>
  </conditionalFormatting>
  <pageMargins left="0.70866141732283472" right="0.31496062992125984" top="0.23622047244094491" bottom="0.23622047244094491" header="0.31496062992125984" footer="0.31496062992125984"/>
  <pageSetup paperSize="9" scale="74" fitToHeight="0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E482A-A3FC-4BC0-B3D2-F2C583BD4925}">
  <sheetPr codeName="Sheet83">
    <tabColor rgb="FFFFC000"/>
    <pageSetUpPr fitToPage="1"/>
  </sheetPr>
  <dimension ref="B1:EB353"/>
  <sheetViews>
    <sheetView topLeftCell="B4" zoomScaleNormal="100" workbookViewId="0">
      <selection activeCell="B1" sqref="B1:L4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444</v>
      </c>
      <c r="J10" s="17" t="s">
        <v>26</v>
      </c>
      <c r="K10" s="455">
        <v>202311136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Granny's Pancake 面煎糕                     Hong Lim Market &amp; Food Centre.    Blk 531 Upper Cross Street, #02-39 Singapore 051531</v>
      </c>
      <c r="G11" s="445"/>
      <c r="H11" s="446"/>
      <c r="J11" s="18" t="s">
        <v>9</v>
      </c>
      <c r="K11" s="460">
        <v>45236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1080</v>
      </c>
      <c r="D18" s="430" t="str">
        <f>VLOOKUP(C18,'Sales Master'!B$3:D$644,2,0)</f>
        <v>Fine Sugar 白糖</v>
      </c>
      <c r="E18" s="430"/>
      <c r="F18" s="430"/>
      <c r="G18" s="45">
        <v>2</v>
      </c>
      <c r="H18" s="241" t="str">
        <f>VLOOKUP(C18,'Sales Master'!B$3:F$936,5,0)</f>
        <v>25 KGS</v>
      </c>
      <c r="I18" s="432" t="str">
        <f>VLOOKUP(C18,'Sales Master'!B$3:E$936,4,0)</f>
        <v>MITR PHOL</v>
      </c>
      <c r="J18" s="432"/>
      <c r="K18" s="22">
        <f>VLOOKUP(C18,'Sales Master'!B$3:N$527,13,0)</f>
        <v>34</v>
      </c>
      <c r="L18" s="71">
        <f>K18*G18</f>
        <v>68</v>
      </c>
      <c r="N18" s="247">
        <f>VLOOKUP(C18,'Sales Master'!$B$3:$FA$3051,156,0)</f>
        <v>26.784000000000002</v>
      </c>
      <c r="O18" s="247">
        <f>K18-N18</f>
        <v>7.2159999999999975</v>
      </c>
      <c r="P18" s="247">
        <f>O18*G18</f>
        <v>14.431999999999995</v>
      </c>
    </row>
    <row r="19" spans="2:16" ht="20.149999999999999" customHeight="1" x14ac:dyDescent="0.45">
      <c r="B19" s="21"/>
      <c r="C19" s="45"/>
      <c r="D19" s="69"/>
      <c r="E19" s="69"/>
      <c r="F19" s="69"/>
      <c r="G19" s="45"/>
      <c r="H19" s="65"/>
      <c r="I19" s="65"/>
      <c r="J19" s="65"/>
      <c r="K19" s="22"/>
      <c r="L19" s="71"/>
      <c r="N19" s="247"/>
      <c r="O19" s="247"/>
      <c r="P19" s="247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  <c r="N20" s="247"/>
      <c r="O20" s="247"/>
      <c r="P20" s="247"/>
    </row>
    <row r="21" spans="2:16" ht="20.149999999999999" customHeight="1" x14ac:dyDescent="0.45">
      <c r="B21" s="21"/>
      <c r="C21" s="275"/>
      <c r="G21" s="99"/>
      <c r="H21" s="65"/>
      <c r="I21" s="65"/>
      <c r="J21" s="65"/>
      <c r="K21" s="96"/>
      <c r="L21" s="71"/>
    </row>
    <row r="22" spans="2:16" ht="20.149999999999999" customHeight="1" x14ac:dyDescent="0.45">
      <c r="B22" s="21"/>
      <c r="C22" s="45"/>
      <c r="G22" s="99"/>
      <c r="H22" s="65"/>
      <c r="I22" s="206"/>
      <c r="J22" s="206"/>
      <c r="K22" s="96"/>
      <c r="L22" s="71"/>
    </row>
    <row r="23" spans="2:16" ht="20.149999999999999" customHeight="1" x14ac:dyDescent="0.45">
      <c r="B23" s="21"/>
      <c r="C23" s="99"/>
      <c r="D23" s="130"/>
      <c r="E23" s="130"/>
      <c r="F23" s="130"/>
      <c r="G23" s="99"/>
      <c r="H23" s="65"/>
      <c r="I23" s="65"/>
      <c r="J23" s="65"/>
      <c r="K23" s="22"/>
      <c r="L23" s="71"/>
    </row>
    <row r="24" spans="2:16" ht="20.149999999999999" customHeight="1" x14ac:dyDescent="0.45">
      <c r="B24" s="70"/>
      <c r="C24" s="561"/>
      <c r="D24" s="562"/>
      <c r="E24" s="562"/>
      <c r="F24" s="562"/>
      <c r="G24" s="563"/>
      <c r="H24" s="564"/>
      <c r="I24" s="565"/>
      <c r="J24" s="565"/>
      <c r="K24" s="96"/>
      <c r="L24" s="98"/>
    </row>
    <row r="25" spans="2:16" ht="20.149999999999999" customHeight="1" x14ac:dyDescent="0.45">
      <c r="B25" s="70"/>
      <c r="C25" s="566"/>
      <c r="D25" s="567"/>
      <c r="E25" s="568"/>
      <c r="F25" s="568"/>
      <c r="G25" s="563"/>
      <c r="H25" s="564"/>
      <c r="I25" s="564"/>
      <c r="J25" s="564"/>
      <c r="K25" s="96"/>
      <c r="L25" s="98"/>
    </row>
    <row r="26" spans="2:16" ht="20.149999999999999" customHeight="1" x14ac:dyDescent="0.45">
      <c r="B26" s="21"/>
      <c r="C26" s="569"/>
      <c r="D26" s="562"/>
      <c r="E26" s="562"/>
      <c r="F26" s="562"/>
      <c r="G26" s="563"/>
      <c r="H26" s="570"/>
      <c r="I26" s="571"/>
      <c r="J26" s="571"/>
      <c r="K26" s="96"/>
      <c r="L26" s="131"/>
    </row>
    <row r="27" spans="2:16" ht="20.149999999999999" customHeight="1" thickBot="1" x14ac:dyDescent="0.5">
      <c r="B27" s="24"/>
      <c r="C27" s="25"/>
      <c r="D27" s="473"/>
      <c r="E27" s="473"/>
      <c r="F27" s="473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474" t="s">
        <v>13</v>
      </c>
      <c r="K29" s="475"/>
      <c r="L29" s="30">
        <f>SUM(L15:L28)</f>
        <v>68</v>
      </c>
      <c r="M29" s="95">
        <f>SUM(P18:P27)-L29*0.02</f>
        <v>13.071999999999996</v>
      </c>
      <c r="N29" s="405">
        <f>M29-L30</f>
        <v>8.0349629629629575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110" t="s">
        <v>553</v>
      </c>
      <c r="K30" s="113">
        <v>6.54E-2</v>
      </c>
      <c r="L30" s="32">
        <f>L32</f>
        <v>5.0370370370370372</v>
      </c>
    </row>
    <row r="31" spans="2:16" ht="20.149999999999999" customHeight="1" x14ac:dyDescent="0.45">
      <c r="B31" s="11" t="s">
        <v>18</v>
      </c>
      <c r="C31" s="10"/>
      <c r="D31" s="10"/>
      <c r="E31" s="10"/>
      <c r="F31" s="10"/>
      <c r="G31" s="10"/>
      <c r="H31" s="10"/>
      <c r="I31" s="10"/>
      <c r="J31" s="476" t="s">
        <v>555</v>
      </c>
      <c r="K31" s="477"/>
      <c r="L31" s="114">
        <f>L29/108*100</f>
        <v>62.962962962962962</v>
      </c>
      <c r="O31" s="60">
        <v>60</v>
      </c>
      <c r="P31" s="60">
        <v>61</v>
      </c>
    </row>
    <row r="32" spans="2:16" ht="20.149999999999999" customHeight="1" x14ac:dyDescent="0.45">
      <c r="B32" s="11" t="s">
        <v>22</v>
      </c>
      <c r="C32" s="10"/>
      <c r="D32" s="10"/>
      <c r="E32" s="10"/>
      <c r="F32" s="10"/>
      <c r="G32" s="10"/>
      <c r="H32" s="10"/>
      <c r="I32" s="10"/>
      <c r="J32" s="111" t="s">
        <v>554</v>
      </c>
      <c r="K32" s="112">
        <v>0.08</v>
      </c>
      <c r="L32" s="44">
        <f>L31*K32</f>
        <v>5.0370370370370372</v>
      </c>
      <c r="O32" s="95">
        <f>O31/107*100</f>
        <v>56.074766355140184</v>
      </c>
      <c r="P32" s="60">
        <f>P31/108*100</f>
        <v>56.481481481481474</v>
      </c>
    </row>
    <row r="33" spans="2:17" ht="20.149999999999999" customHeight="1" thickBot="1" x14ac:dyDescent="0.5">
      <c r="B33" s="11" t="s">
        <v>748</v>
      </c>
      <c r="C33" s="10"/>
      <c r="D33" s="10"/>
      <c r="E33" s="10"/>
      <c r="F33" s="10"/>
      <c r="G33" s="10"/>
      <c r="H33" s="10"/>
      <c r="I33" s="10"/>
      <c r="J33" s="478" t="s">
        <v>21</v>
      </c>
      <c r="K33" s="479"/>
      <c r="L33" s="33">
        <f>L31+L32</f>
        <v>68</v>
      </c>
      <c r="O33" s="95">
        <f>O32*0.07</f>
        <v>3.9252336448598131</v>
      </c>
      <c r="P33" s="60">
        <f>P32*0.08</f>
        <v>4.5185185185185182</v>
      </c>
    </row>
    <row r="34" spans="2:17" ht="20.149999999999999" customHeight="1" x14ac:dyDescent="0.45">
      <c r="B34" s="11" t="s">
        <v>23</v>
      </c>
      <c r="C34" s="10"/>
      <c r="D34" s="10"/>
      <c r="E34" s="10"/>
      <c r="F34" s="10"/>
      <c r="G34" s="10"/>
      <c r="H34" s="10"/>
      <c r="I34" s="10"/>
      <c r="L34" s="29"/>
      <c r="O34" s="95">
        <f>O31-O33</f>
        <v>56.074766355140184</v>
      </c>
      <c r="P34" s="95">
        <f>P31-P33</f>
        <v>56.481481481481481</v>
      </c>
      <c r="Q34" s="95">
        <f>P34-O34</f>
        <v>0.4067151263412967</v>
      </c>
    </row>
    <row r="35" spans="2:17" ht="20.149999999999999" customHeight="1" x14ac:dyDescent="0.45">
      <c r="B35" s="183" t="s">
        <v>749</v>
      </c>
      <c r="L35" s="29"/>
    </row>
    <row r="36" spans="2:17" ht="20.149999999999999" customHeight="1" x14ac:dyDescent="0.45">
      <c r="B36" s="28"/>
      <c r="L36" s="29"/>
    </row>
    <row r="37" spans="2:17" ht="20.149999999999999" customHeight="1" x14ac:dyDescent="0.45">
      <c r="B37" s="28"/>
      <c r="L37" s="29"/>
    </row>
    <row r="38" spans="2:17" ht="20.149999999999999" customHeight="1" x14ac:dyDescent="0.45">
      <c r="B38" s="28"/>
      <c r="L38" s="29"/>
    </row>
    <row r="39" spans="2:17" ht="20.149999999999999" customHeight="1" x14ac:dyDescent="0.45">
      <c r="B39" s="34"/>
      <c r="C39" s="35"/>
      <c r="D39" s="35"/>
      <c r="J39" s="35"/>
      <c r="K39" s="35"/>
      <c r="L39" s="36"/>
    </row>
    <row r="40" spans="2:17" ht="20.149999999999999" customHeight="1" x14ac:dyDescent="0.45">
      <c r="B40" s="28" t="s">
        <v>24</v>
      </c>
      <c r="J40" s="60" t="s">
        <v>25</v>
      </c>
      <c r="L40" s="29"/>
    </row>
    <row r="41" spans="2:17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  <row r="42" spans="2:17" ht="20.5" x14ac:dyDescent="0.45">
      <c r="F42" s="319"/>
    </row>
    <row r="349" spans="8:132" x14ac:dyDescent="0.45">
      <c r="H349" s="345"/>
      <c r="M349" s="60">
        <v>30.5</v>
      </c>
      <c r="N349" s="60">
        <v>30.5</v>
      </c>
      <c r="O349" s="60">
        <v>30.5</v>
      </c>
      <c r="AL349" s="60">
        <v>30.5</v>
      </c>
      <c r="AY349" s="60">
        <v>30.5</v>
      </c>
      <c r="BN349" s="60">
        <v>30.5</v>
      </c>
      <c r="BQ349" s="60">
        <v>30.5</v>
      </c>
      <c r="BX349" s="60">
        <v>30.5</v>
      </c>
      <c r="CE349" s="60">
        <v>30.5</v>
      </c>
      <c r="CG349" s="60">
        <v>30.5</v>
      </c>
      <c r="CR349" s="60">
        <v>30.5</v>
      </c>
      <c r="CT349" s="60">
        <v>30.5</v>
      </c>
      <c r="CV349" s="60">
        <v>30.5</v>
      </c>
      <c r="CZ349" s="60">
        <v>30.5</v>
      </c>
      <c r="DC349" s="60">
        <v>30.5</v>
      </c>
      <c r="EB349" s="60">
        <v>30.5</v>
      </c>
    </row>
    <row r="350" spans="8:132" x14ac:dyDescent="0.45">
      <c r="H350" s="345">
        <v>0</v>
      </c>
    </row>
    <row r="351" spans="8:132" x14ac:dyDescent="0.45">
      <c r="H351" s="345"/>
      <c r="U351" s="60">
        <v>6.5</v>
      </c>
      <c r="AD351" s="60">
        <v>6.5</v>
      </c>
      <c r="AK351" s="60">
        <v>6.5</v>
      </c>
      <c r="AP351" s="60">
        <v>6.5</v>
      </c>
      <c r="AY351" s="60">
        <v>6.5</v>
      </c>
      <c r="BZ351" s="60">
        <v>6.5</v>
      </c>
    </row>
    <row r="352" spans="8:132" x14ac:dyDescent="0.45">
      <c r="H352" s="345"/>
      <c r="CI352" s="60">
        <v>2.7</v>
      </c>
      <c r="DU352" s="60">
        <v>2.2000000000000002</v>
      </c>
    </row>
    <row r="353" spans="8:125" x14ac:dyDescent="0.45">
      <c r="H353" s="345"/>
      <c r="DU353" s="60">
        <v>1.1000000000000001</v>
      </c>
    </row>
  </sheetData>
  <mergeCells count="2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4:J24"/>
    <mergeCell ref="D17:F17"/>
    <mergeCell ref="I17:J17"/>
    <mergeCell ref="D18:F18"/>
    <mergeCell ref="I18:J18"/>
    <mergeCell ref="D24:F24"/>
    <mergeCell ref="J33:K33"/>
    <mergeCell ref="D27:F27"/>
    <mergeCell ref="J29:K29"/>
    <mergeCell ref="J31:K31"/>
    <mergeCell ref="I26:J26"/>
    <mergeCell ref="D26:F26"/>
  </mergeCells>
  <conditionalFormatting sqref="C24">
    <cfRule type="duplicateValues" dxfId="119" priority="116"/>
    <cfRule type="duplicateValues" dxfId="118" priority="117"/>
  </conditionalFormatting>
  <conditionalFormatting sqref="C25">
    <cfRule type="duplicateValues" dxfId="117" priority="1"/>
  </conditionalFormatting>
  <conditionalFormatting sqref="C26">
    <cfRule type="duplicateValues" dxfId="116" priority="3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E8380-EF11-4D82-9752-85F15772243C}">
  <sheetPr codeName="Sheet41">
    <tabColor rgb="FFFFC000"/>
    <pageSetUpPr fitToPage="1"/>
  </sheetPr>
  <dimension ref="B1:S171"/>
  <sheetViews>
    <sheetView topLeftCell="A22" zoomScaleNormal="100" workbookViewId="0">
      <selection activeCell="B1" sqref="B1:L44"/>
    </sheetView>
  </sheetViews>
  <sheetFormatPr defaultColWidth="12.54296875" defaultRowHeight="17" x14ac:dyDescent="0.4"/>
  <cols>
    <col min="1" max="3" width="12.54296875" style="144"/>
    <col min="4" max="4" width="14.54296875" style="144" customWidth="1"/>
    <col min="5" max="5" width="3.54296875" style="144" customWidth="1"/>
    <col min="6" max="6" width="14.54296875" style="144" customWidth="1"/>
    <col min="7" max="7" width="8.54296875" style="144" customWidth="1"/>
    <col min="8" max="8" width="18.26953125" style="144" customWidth="1"/>
    <col min="9" max="9" width="2.54296875" style="144" customWidth="1"/>
    <col min="10" max="10" width="15.54296875" style="144" customWidth="1"/>
    <col min="11" max="11" width="10.54296875" style="144" customWidth="1"/>
    <col min="12" max="16384" width="12.54296875" style="144"/>
  </cols>
  <sheetData>
    <row r="1" spans="2:12" x14ac:dyDescent="0.4"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</row>
    <row r="2" spans="2:12" x14ac:dyDescent="0.4"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</row>
    <row r="3" spans="2:12" x14ac:dyDescent="0.4"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</row>
    <row r="4" spans="2:12" x14ac:dyDescent="0.4"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512"/>
    </row>
    <row r="5" spans="2:12" x14ac:dyDescent="0.4">
      <c r="B5" s="512"/>
      <c r="C5" s="512"/>
      <c r="D5" s="512"/>
      <c r="E5" s="512"/>
      <c r="F5" s="512"/>
      <c r="G5" s="512"/>
      <c r="H5" s="512"/>
      <c r="I5" s="512"/>
      <c r="J5" s="512"/>
      <c r="K5" s="512"/>
      <c r="L5" s="512"/>
    </row>
    <row r="6" spans="2:12" x14ac:dyDescent="0.4">
      <c r="B6" s="512"/>
      <c r="C6" s="512"/>
      <c r="D6" s="512"/>
      <c r="E6" s="512"/>
      <c r="F6" s="512"/>
      <c r="G6" s="512"/>
      <c r="H6" s="512"/>
      <c r="I6" s="512"/>
      <c r="J6" s="512"/>
      <c r="K6" s="512"/>
      <c r="L6" s="512"/>
    </row>
    <row r="7" spans="2:12" x14ac:dyDescent="0.4">
      <c r="B7" s="512"/>
      <c r="C7" s="512"/>
      <c r="D7" s="512"/>
      <c r="E7" s="512"/>
      <c r="F7" s="512"/>
      <c r="G7" s="512"/>
      <c r="H7" s="512"/>
      <c r="I7" s="512"/>
      <c r="J7" s="512"/>
      <c r="K7" s="512"/>
      <c r="L7" s="512"/>
    </row>
    <row r="8" spans="2:12" ht="17.5" thickBot="1" x14ac:dyDescent="0.45"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</row>
    <row r="9" spans="2:12" ht="17.5" thickBot="1" x14ac:dyDescent="0.45">
      <c r="B9" s="280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445</v>
      </c>
      <c r="I10" s="60"/>
      <c r="J10" s="17" t="s">
        <v>26</v>
      </c>
      <c r="K10" s="455">
        <v>202303367</v>
      </c>
      <c r="L10" s="456"/>
    </row>
    <row r="11" spans="2:12" ht="20.149999999999999" customHeight="1" x14ac:dyDescent="0.45">
      <c r="B11" s="480" t="s">
        <v>252</v>
      </c>
      <c r="C11" s="481"/>
      <c r="D11" s="482"/>
      <c r="E11" s="61"/>
      <c r="F11" s="444" t="str">
        <f>VLOOKUP(H10,'Delivery Location'!A$4:N$423,2,0)</f>
        <v>Only You Dessert                                   Hong Lim Market &amp; Food Centre Blk 531 Upper Cross Street   #02-44  Singapore 051531</v>
      </c>
      <c r="G11" s="445"/>
      <c r="H11" s="446"/>
      <c r="I11" s="60"/>
      <c r="J11" s="18" t="s">
        <v>9</v>
      </c>
      <c r="K11" s="460">
        <v>45002</v>
      </c>
      <c r="L11" s="461"/>
    </row>
    <row r="12" spans="2:12" ht="20.149999999999999" customHeight="1" x14ac:dyDescent="0.45">
      <c r="B12" s="462" t="s">
        <v>250</v>
      </c>
      <c r="C12" s="463"/>
      <c r="D12" s="464"/>
      <c r="E12" s="61"/>
      <c r="F12" s="447"/>
      <c r="G12" s="448"/>
      <c r="H12" s="449"/>
      <c r="I12" s="60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 t="s">
        <v>251</v>
      </c>
      <c r="C13" s="463"/>
      <c r="D13" s="464"/>
      <c r="E13" s="61"/>
      <c r="F13" s="447"/>
      <c r="G13" s="448"/>
      <c r="H13" s="449"/>
      <c r="I13" s="60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 t="s">
        <v>253</v>
      </c>
      <c r="C14" s="463"/>
      <c r="D14" s="464"/>
      <c r="E14" s="61"/>
      <c r="F14" s="447"/>
      <c r="G14" s="448"/>
      <c r="H14" s="449"/>
      <c r="I14" s="60"/>
      <c r="J14" s="18" t="s">
        <v>27</v>
      </c>
      <c r="K14" s="465" t="s">
        <v>14</v>
      </c>
      <c r="L14" s="466"/>
    </row>
    <row r="15" spans="2:12" ht="18" customHeight="1" thickBot="1" x14ac:dyDescent="0.5">
      <c r="B15" s="467" t="s">
        <v>359</v>
      </c>
      <c r="C15" s="468"/>
      <c r="D15" s="469"/>
      <c r="E15" s="14"/>
      <c r="F15" s="450"/>
      <c r="G15" s="451"/>
      <c r="H15" s="452"/>
      <c r="I15" s="60"/>
      <c r="J15" s="19" t="s">
        <v>11</v>
      </c>
      <c r="K15" s="483"/>
      <c r="L15" s="484"/>
    </row>
    <row r="16" spans="2:12" ht="17.5" thickBot="1" x14ac:dyDescent="0.45">
      <c r="J16" s="148"/>
    </row>
    <row r="17" spans="2:19" ht="30" customHeight="1" thickBot="1" x14ac:dyDescent="0.45">
      <c r="B17" s="281" t="s">
        <v>2</v>
      </c>
      <c r="C17" s="282" t="s">
        <v>3</v>
      </c>
      <c r="D17" s="508" t="s">
        <v>4</v>
      </c>
      <c r="E17" s="509"/>
      <c r="F17" s="510"/>
      <c r="G17" s="283" t="s">
        <v>335</v>
      </c>
      <c r="H17" s="282" t="s">
        <v>28</v>
      </c>
      <c r="I17" s="508" t="s">
        <v>57</v>
      </c>
      <c r="J17" s="510"/>
      <c r="K17" s="282" t="s">
        <v>5</v>
      </c>
      <c r="L17" s="284" t="s">
        <v>6</v>
      </c>
      <c r="M17" s="285"/>
      <c r="N17" s="286" t="s">
        <v>765</v>
      </c>
      <c r="O17" s="286" t="s">
        <v>1243</v>
      </c>
      <c r="P17" s="286" t="s">
        <v>1244</v>
      </c>
    </row>
    <row r="18" spans="2:19" ht="20.149999999999999" customHeight="1" x14ac:dyDescent="0.45">
      <c r="B18" s="287"/>
      <c r="C18" s="69" t="s">
        <v>915</v>
      </c>
      <c r="D18" s="430" t="str">
        <f>VLOOKUP(C18,'Sales Master'!B$3:D$644,2,0)</f>
        <v>Atap Seeds in Syrup 亚嗒子</v>
      </c>
      <c r="E18" s="430"/>
      <c r="F18" s="430"/>
      <c r="G18" s="45">
        <v>1</v>
      </c>
      <c r="H18" s="241" t="str">
        <f>VLOOKUP(C18,'Sales Master'!B$3:F$936,5,0)</f>
        <v>NW (2.1:0.9) 3 kgs</v>
      </c>
      <c r="I18" s="432" t="str">
        <f>VLOOKUP(C18,'Sales Master'!B$3:E$936,4,0)</f>
        <v>2P</v>
      </c>
      <c r="J18" s="432"/>
      <c r="K18" s="22">
        <f>VLOOKUP(C18,'Sales Master'!B$3:O$527,14,0)</f>
        <v>0</v>
      </c>
      <c r="L18" s="71">
        <f t="shared" ref="L18" si="0">K18*G18</f>
        <v>0</v>
      </c>
      <c r="M18" s="60"/>
      <c r="N18" s="247">
        <f>VLOOKUP(C18,'Sales Master'!$B$3:$FA$3051,156,0)</f>
        <v>10.692</v>
      </c>
      <c r="O18" s="247">
        <f t="shared" ref="O18" si="1">K18-N18</f>
        <v>-10.692</v>
      </c>
      <c r="P18" s="247">
        <f t="shared" ref="P18" si="2">O18*G18</f>
        <v>-10.692</v>
      </c>
    </row>
    <row r="19" spans="2:19" ht="20.149999999999999" customHeight="1" x14ac:dyDescent="0.45">
      <c r="B19" s="287"/>
      <c r="C19" s="69" t="s">
        <v>918</v>
      </c>
      <c r="D19" s="430" t="str">
        <f>VLOOKUP(C19,'Sales Master'!B$3:D$644,2,0)</f>
        <v>Chin Chow 仙草</v>
      </c>
      <c r="E19" s="430"/>
      <c r="F19" s="430"/>
      <c r="G19" s="45">
        <v>3</v>
      </c>
      <c r="H19" s="241" t="str">
        <f>VLOOKUP(C19,'Sales Master'!B$3:F$936,5,0)</f>
        <v>5KGS/PKT</v>
      </c>
      <c r="I19" s="432" t="str">
        <f>VLOOKUP(C19,'Sales Master'!B$3:E$936,4,0)</f>
        <v>TSM</v>
      </c>
      <c r="J19" s="432"/>
      <c r="K19" s="22">
        <f>VLOOKUP(C19,'Sales Master'!B$3:O$527,14,0)</f>
        <v>0</v>
      </c>
      <c r="L19" s="71">
        <f t="shared" ref="L19:L20" si="3">K19*G19</f>
        <v>0</v>
      </c>
      <c r="M19" s="60"/>
      <c r="N19" s="247">
        <f>VLOOKUP(C19,'Sales Master'!$B$3:$FA$3051,156,0)</f>
        <v>4.32</v>
      </c>
      <c r="O19" s="247">
        <f t="shared" ref="O19:O20" si="4">K19-N19</f>
        <v>-4.32</v>
      </c>
      <c r="P19" s="247">
        <f t="shared" ref="P19:P20" si="5">O19*G19</f>
        <v>-12.96</v>
      </c>
      <c r="S19" s="144">
        <v>9</v>
      </c>
    </row>
    <row r="20" spans="2:19" ht="20.149999999999999" customHeight="1" x14ac:dyDescent="0.45">
      <c r="B20" s="287"/>
      <c r="C20" s="69" t="s">
        <v>924</v>
      </c>
      <c r="D20" s="430" t="str">
        <f>VLOOKUP(C20,'Sales Master'!B$3:D$644,2,0)</f>
        <v>Red Bean 红豆</v>
      </c>
      <c r="E20" s="430"/>
      <c r="F20" s="430"/>
      <c r="G20" s="45">
        <v>1</v>
      </c>
      <c r="H20" s="241" t="str">
        <f>VLOOKUP(C20,'Sales Master'!B$3:F$936,5,0)</f>
        <v>5 kgs</v>
      </c>
      <c r="I20" s="432" t="str">
        <f>VLOOKUP(C20,'Sales Master'!B$3:E$936,4,0)</f>
        <v>-</v>
      </c>
      <c r="J20" s="432"/>
      <c r="K20" s="22">
        <f>VLOOKUP(C20,'Sales Master'!B$3:O$527,14,0)</f>
        <v>0</v>
      </c>
      <c r="L20" s="71">
        <f t="shared" si="3"/>
        <v>0</v>
      </c>
      <c r="M20" s="60"/>
      <c r="N20" s="247">
        <f>VLOOKUP(C20,'Sales Master'!$B$3:$FA$3051,156,0)</f>
        <v>13.5</v>
      </c>
      <c r="O20" s="247">
        <f t="shared" si="4"/>
        <v>-13.5</v>
      </c>
      <c r="P20" s="247">
        <f t="shared" si="5"/>
        <v>-13.5</v>
      </c>
    </row>
    <row r="21" spans="2:19" ht="20.149999999999999" customHeight="1" x14ac:dyDescent="0.45">
      <c r="B21" s="287"/>
      <c r="C21" s="69" t="s">
        <v>1020</v>
      </c>
      <c r="D21" s="430" t="str">
        <f>VLOOKUP(C21,'Sales Master'!B$3:D$644,2,0)</f>
        <v>Sea Coconut 海底椰</v>
      </c>
      <c r="E21" s="430"/>
      <c r="F21" s="430"/>
      <c r="G21" s="45">
        <v>1</v>
      </c>
      <c r="H21" s="241" t="str">
        <f>VLOOKUP(C21,'Sales Master'!B$3:F$936,5,0)</f>
        <v>1 Can X A10</v>
      </c>
      <c r="I21" s="432" t="str">
        <f>VLOOKUP(C21,'Sales Master'!B$3:E$936,4,0)</f>
        <v>Chefs</v>
      </c>
      <c r="J21" s="432"/>
      <c r="K21" s="22">
        <f>VLOOKUP(C21,'Sales Master'!B$3:O$527,14,0)</f>
        <v>0</v>
      </c>
      <c r="L21" s="71">
        <f t="shared" ref="L21" si="6">K21*G21</f>
        <v>0</v>
      </c>
      <c r="M21" s="60"/>
      <c r="N21" s="247">
        <f>VLOOKUP(C21,'Sales Master'!$B$3:$FA$3051,156,0)</f>
        <v>14.333333333333334</v>
      </c>
      <c r="O21" s="247">
        <f t="shared" ref="O21" si="7">K21-N21</f>
        <v>-14.333333333333334</v>
      </c>
      <c r="P21" s="247">
        <f t="shared" ref="P21" si="8">O21*G21</f>
        <v>-14.333333333333334</v>
      </c>
    </row>
    <row r="22" spans="2:19" ht="20.149999999999999" customHeight="1" x14ac:dyDescent="0.45">
      <c r="B22" s="287"/>
      <c r="C22" s="69" t="s">
        <v>1085</v>
      </c>
      <c r="D22" s="430" t="str">
        <f>VLOOKUP(C22,'Sales Master'!B$3:D$644,2,0)</f>
        <v>Coconut Sugar 椰糖</v>
      </c>
      <c r="E22" s="430"/>
      <c r="F22" s="430"/>
      <c r="G22" s="45">
        <v>1</v>
      </c>
      <c r="H22" s="241" t="str">
        <f>VLOOKUP(C22,'Sales Master'!B$3:F$936,5,0)</f>
        <v>10kgs/ctn</v>
      </c>
      <c r="I22" s="432" t="str">
        <f>VLOOKUP(C22,'Sales Master'!B$3:E$936,4,0)</f>
        <v>2P</v>
      </c>
      <c r="J22" s="432"/>
      <c r="K22" s="22">
        <f>VLOOKUP(C22,'Sales Master'!B$3:O$527,14,0)</f>
        <v>0</v>
      </c>
      <c r="L22" s="71">
        <f t="shared" ref="L22" si="9">K22*G22</f>
        <v>0</v>
      </c>
      <c r="M22" s="60"/>
      <c r="N22" s="247">
        <f>VLOOKUP(C22,'Sales Master'!$B$3:$FA$3051,156,0)</f>
        <v>31</v>
      </c>
      <c r="O22" s="247">
        <f t="shared" ref="O22" si="10">K22-N22</f>
        <v>-31</v>
      </c>
      <c r="P22" s="247">
        <f t="shared" ref="P22" si="11">O22*G22</f>
        <v>-31</v>
      </c>
    </row>
    <row r="23" spans="2:19" ht="20.149999999999999" customHeight="1" x14ac:dyDescent="0.45">
      <c r="B23" s="287"/>
      <c r="C23" s="69" t="s">
        <v>1089</v>
      </c>
      <c r="D23" s="430" t="str">
        <f>VLOOKUP(C23,'Sales Master'!B$3:D$644,2,0)</f>
        <v>Candy Sugar 片糖</v>
      </c>
      <c r="E23" s="430"/>
      <c r="F23" s="430"/>
      <c r="G23" s="45">
        <v>1</v>
      </c>
      <c r="H23" s="241" t="str">
        <f>VLOOKUP(C23,'Sales Master'!B$3:F$936,5,0)</f>
        <v>400gms x 50pkt/ctn</v>
      </c>
      <c r="I23" s="432" t="str">
        <f>VLOOKUP(C23,'Sales Master'!B$3:E$936,4,0)</f>
        <v>-</v>
      </c>
      <c r="J23" s="432"/>
      <c r="K23" s="22">
        <f>VLOOKUP(C23,'Sales Master'!B$3:O$527,14,0)</f>
        <v>0</v>
      </c>
      <c r="L23" s="71">
        <f t="shared" ref="L23" si="12">K23*G23</f>
        <v>0</v>
      </c>
      <c r="M23" s="60"/>
      <c r="N23" s="247">
        <f>VLOOKUP(C23,'Sales Master'!$B$3:$FA$3051,156,0)</f>
        <v>40</v>
      </c>
      <c r="O23" s="247">
        <f t="shared" ref="O23" si="13">K23-N23</f>
        <v>-40</v>
      </c>
      <c r="P23" s="247">
        <f t="shared" ref="P23" si="14">O23*G23</f>
        <v>-40</v>
      </c>
    </row>
    <row r="24" spans="2:19" ht="20.149999999999999" customHeight="1" x14ac:dyDescent="0.45">
      <c r="B24" s="287"/>
      <c r="C24" s="69"/>
      <c r="D24" s="430"/>
      <c r="E24" s="430"/>
      <c r="F24" s="430"/>
      <c r="G24" s="45"/>
      <c r="H24" s="241"/>
      <c r="I24" s="432"/>
      <c r="J24" s="432"/>
      <c r="K24" s="22"/>
      <c r="L24" s="71"/>
      <c r="M24" s="60"/>
      <c r="N24" s="247"/>
      <c r="O24" s="247"/>
      <c r="P24" s="247"/>
    </row>
    <row r="25" spans="2:19" ht="20.149999999999999" customHeight="1" x14ac:dyDescent="0.45">
      <c r="B25" s="287"/>
      <c r="C25" s="69"/>
      <c r="D25" s="430"/>
      <c r="E25" s="430"/>
      <c r="F25" s="430"/>
      <c r="G25" s="45"/>
      <c r="H25" s="241"/>
      <c r="I25" s="432"/>
      <c r="J25" s="432"/>
      <c r="K25" s="22"/>
      <c r="L25" s="71"/>
      <c r="M25" s="60"/>
      <c r="N25" s="247"/>
      <c r="O25" s="247"/>
      <c r="P25" s="247"/>
    </row>
    <row r="26" spans="2:19" ht="20.149999999999999" customHeight="1" x14ac:dyDescent="0.45">
      <c r="B26" s="287"/>
      <c r="C26" s="69"/>
      <c r="D26" s="430"/>
      <c r="E26" s="430"/>
      <c r="F26" s="430"/>
      <c r="G26" s="45"/>
      <c r="H26" s="241"/>
      <c r="I26" s="432"/>
      <c r="J26" s="432"/>
      <c r="K26" s="22"/>
      <c r="L26" s="71"/>
      <c r="M26" s="60"/>
      <c r="N26" s="247"/>
      <c r="O26" s="247"/>
      <c r="P26" s="247"/>
    </row>
    <row r="27" spans="2:19" ht="20.149999999999999" customHeight="1" x14ac:dyDescent="0.45">
      <c r="B27" s="287"/>
      <c r="C27" s="45"/>
      <c r="D27" s="430"/>
      <c r="E27" s="430"/>
      <c r="F27" s="430"/>
      <c r="G27" s="45"/>
      <c r="H27" s="241"/>
      <c r="I27" s="432"/>
      <c r="J27" s="432"/>
      <c r="K27" s="22"/>
      <c r="L27" s="71"/>
      <c r="M27" s="60"/>
      <c r="N27" s="247"/>
      <c r="O27" s="247"/>
      <c r="P27" s="247"/>
    </row>
    <row r="28" spans="2:19" ht="20.149999999999999" customHeight="1" x14ac:dyDescent="0.4">
      <c r="B28" s="287"/>
      <c r="F28" s="291"/>
      <c r="G28" s="148"/>
      <c r="H28" s="148"/>
      <c r="I28" s="148"/>
      <c r="J28" s="148"/>
      <c r="K28" s="304"/>
      <c r="L28" s="289"/>
      <c r="N28" s="290"/>
      <c r="O28" s="290"/>
      <c r="P28" s="290"/>
    </row>
    <row r="29" spans="2:19" ht="20.149999999999999" customHeight="1" x14ac:dyDescent="0.4">
      <c r="B29" s="287"/>
      <c r="F29" s="291"/>
      <c r="G29" s="148"/>
      <c r="H29" s="148"/>
      <c r="I29" s="148"/>
      <c r="J29" s="148"/>
      <c r="K29" s="304"/>
      <c r="L29" s="289"/>
      <c r="N29" s="290"/>
      <c r="O29" s="290"/>
      <c r="P29" s="290"/>
    </row>
    <row r="30" spans="2:19" ht="20.149999999999999" customHeight="1" x14ac:dyDescent="0.4">
      <c r="B30" s="287"/>
      <c r="F30" s="291"/>
      <c r="G30" s="291"/>
      <c r="H30" s="291"/>
      <c r="I30" s="291"/>
      <c r="J30" s="291"/>
      <c r="L30" s="289"/>
      <c r="N30" s="290"/>
      <c r="O30" s="290"/>
      <c r="P30" s="290"/>
    </row>
    <row r="31" spans="2:19" ht="20.149999999999999" customHeight="1" thickBot="1" x14ac:dyDescent="0.45">
      <c r="B31" s="292"/>
      <c r="C31" s="279"/>
      <c r="D31" s="506"/>
      <c r="E31" s="506"/>
      <c r="F31" s="506"/>
      <c r="G31" s="279"/>
      <c r="H31" s="279"/>
      <c r="I31" s="279"/>
      <c r="J31" s="279"/>
      <c r="K31" s="293"/>
      <c r="L31" s="294"/>
      <c r="N31" s="290"/>
      <c r="O31" s="290"/>
      <c r="P31" s="290"/>
    </row>
    <row r="32" spans="2:19" ht="20.149999999999999" customHeight="1" thickBot="1" x14ac:dyDescent="0.45">
      <c r="B32" s="295"/>
      <c r="L32" s="296"/>
    </row>
    <row r="33" spans="2:14" ht="20.149999999999999" customHeight="1" x14ac:dyDescent="0.45">
      <c r="B33" s="297" t="s">
        <v>16</v>
      </c>
      <c r="C33" s="150"/>
      <c r="D33" s="150"/>
      <c r="E33" s="150"/>
      <c r="F33" s="150"/>
      <c r="G33" s="150"/>
      <c r="H33" s="150"/>
      <c r="I33" s="150"/>
      <c r="J33" s="474" t="s">
        <v>13</v>
      </c>
      <c r="K33" s="475"/>
      <c r="L33" s="30">
        <f>SUM(L16:L32)</f>
        <v>0</v>
      </c>
      <c r="M33" s="95">
        <f>SUM(P20:P31)</f>
        <v>-98.833333333333343</v>
      </c>
      <c r="N33" s="298" t="e">
        <f>M33/L33</f>
        <v>#DIV/0!</v>
      </c>
    </row>
    <row r="34" spans="2:14" ht="20.149999999999999" customHeight="1" x14ac:dyDescent="0.45">
      <c r="B34" s="297" t="s">
        <v>17</v>
      </c>
      <c r="C34" s="150"/>
      <c r="D34" s="150"/>
      <c r="E34" s="150"/>
      <c r="F34" s="150"/>
      <c r="G34" s="150"/>
      <c r="H34" s="150"/>
      <c r="I34" s="150"/>
      <c r="J34" s="110" t="s">
        <v>553</v>
      </c>
      <c r="K34" s="113">
        <v>6.54E-2</v>
      </c>
      <c r="L34" s="32">
        <f>L36</f>
        <v>0</v>
      </c>
      <c r="M34" s="60"/>
    </row>
    <row r="35" spans="2:14" ht="20.149999999999999" customHeight="1" x14ac:dyDescent="0.45">
      <c r="B35" s="297" t="s">
        <v>18</v>
      </c>
      <c r="C35" s="150"/>
      <c r="D35" s="150"/>
      <c r="E35" s="150"/>
      <c r="F35" s="150"/>
      <c r="G35" s="150"/>
      <c r="H35" s="150"/>
      <c r="I35" s="150"/>
      <c r="J35" s="476" t="s">
        <v>555</v>
      </c>
      <c r="K35" s="477"/>
      <c r="L35" s="114">
        <f>L33/108*100</f>
        <v>0</v>
      </c>
      <c r="M35" s="60"/>
    </row>
    <row r="36" spans="2:14" ht="20.149999999999999" customHeight="1" x14ac:dyDescent="0.45">
      <c r="B36" s="297" t="s">
        <v>22</v>
      </c>
      <c r="C36" s="150"/>
      <c r="D36" s="150"/>
      <c r="E36" s="150"/>
      <c r="F36" s="150"/>
      <c r="G36" s="150"/>
      <c r="H36" s="150"/>
      <c r="I36" s="150"/>
      <c r="J36" s="111" t="s">
        <v>554</v>
      </c>
      <c r="K36" s="112">
        <v>0.08</v>
      </c>
      <c r="L36" s="44">
        <f>L35*K36</f>
        <v>0</v>
      </c>
      <c r="M36" s="60"/>
    </row>
    <row r="37" spans="2:14" ht="20.149999999999999" customHeight="1" thickBot="1" x14ac:dyDescent="0.5">
      <c r="B37" s="297" t="s">
        <v>748</v>
      </c>
      <c r="C37" s="150"/>
      <c r="D37" s="150"/>
      <c r="E37" s="150"/>
      <c r="F37" s="150"/>
      <c r="G37" s="150"/>
      <c r="H37" s="150"/>
      <c r="I37" s="150"/>
      <c r="J37" s="478" t="s">
        <v>21</v>
      </c>
      <c r="K37" s="479"/>
      <c r="L37" s="33">
        <f>L35+L36</f>
        <v>0</v>
      </c>
      <c r="M37" s="60"/>
    </row>
    <row r="38" spans="2:14" ht="20.149999999999999" customHeight="1" x14ac:dyDescent="0.4">
      <c r="B38" s="297" t="s">
        <v>23</v>
      </c>
      <c r="C38" s="150"/>
      <c r="D38" s="150"/>
      <c r="E38" s="150"/>
      <c r="F38" s="150"/>
      <c r="G38" s="150"/>
      <c r="H38" s="150"/>
      <c r="I38" s="150"/>
      <c r="L38" s="296"/>
    </row>
    <row r="39" spans="2:14" ht="20.149999999999999" customHeight="1" x14ac:dyDescent="0.4">
      <c r="B39" s="299" t="s">
        <v>749</v>
      </c>
      <c r="L39" s="296"/>
    </row>
    <row r="40" spans="2:14" ht="20.149999999999999" customHeight="1" x14ac:dyDescent="0.4">
      <c r="B40" s="299"/>
      <c r="L40" s="296"/>
    </row>
    <row r="41" spans="2:14" ht="20.149999999999999" customHeight="1" x14ac:dyDescent="0.4">
      <c r="B41" s="295"/>
      <c r="L41" s="296"/>
    </row>
    <row r="42" spans="2:14" ht="20.149999999999999" customHeight="1" x14ac:dyDescent="0.4">
      <c r="B42" s="300"/>
      <c r="C42" s="151"/>
      <c r="D42" s="151"/>
      <c r="J42" s="151"/>
      <c r="K42" s="151"/>
      <c r="L42" s="301"/>
    </row>
    <row r="43" spans="2:14" ht="20.149999999999999" customHeight="1" x14ac:dyDescent="0.4">
      <c r="B43" s="295" t="s">
        <v>24</v>
      </c>
      <c r="J43" s="144" t="s">
        <v>25</v>
      </c>
      <c r="L43" s="296"/>
    </row>
    <row r="44" spans="2:14" ht="17.5" thickBot="1" x14ac:dyDescent="0.45">
      <c r="B44" s="302"/>
      <c r="C44" s="152"/>
      <c r="D44" s="152"/>
      <c r="E44" s="152"/>
      <c r="F44" s="152"/>
      <c r="G44" s="152"/>
      <c r="H44" s="152"/>
      <c r="I44" s="152"/>
      <c r="J44" s="152"/>
      <c r="K44" s="152"/>
      <c r="L44" s="303"/>
    </row>
    <row r="45" spans="2:14" x14ac:dyDescent="0.4">
      <c r="L45" s="144" t="s">
        <v>334</v>
      </c>
    </row>
    <row r="164" spans="15:15" x14ac:dyDescent="0.4">
      <c r="O164" s="144">
        <v>18</v>
      </c>
    </row>
    <row r="171" spans="15:15" x14ac:dyDescent="0.4">
      <c r="O171" s="144">
        <v>10.5</v>
      </c>
    </row>
  </sheetData>
  <mergeCells count="39">
    <mergeCell ref="B14:D14"/>
    <mergeCell ref="I19:J19"/>
    <mergeCell ref="B15:D15"/>
    <mergeCell ref="D20:F20"/>
    <mergeCell ref="D21:F21"/>
    <mergeCell ref="I21:J21"/>
    <mergeCell ref="I20:J20"/>
    <mergeCell ref="J37:K37"/>
    <mergeCell ref="D31:F31"/>
    <mergeCell ref="J33:K33"/>
    <mergeCell ref="J35:K35"/>
    <mergeCell ref="I22:J22"/>
    <mergeCell ref="I26:J26"/>
    <mergeCell ref="D22:F22"/>
    <mergeCell ref="I27:J27"/>
    <mergeCell ref="D26:F26"/>
    <mergeCell ref="D23:F23"/>
    <mergeCell ref="D27:F27"/>
    <mergeCell ref="I25:J25"/>
    <mergeCell ref="D25:F25"/>
    <mergeCell ref="I23:J23"/>
    <mergeCell ref="D24:F24"/>
    <mergeCell ref="I24:J24"/>
    <mergeCell ref="B1:L8"/>
    <mergeCell ref="D17:F17"/>
    <mergeCell ref="I17:J17"/>
    <mergeCell ref="D19:F19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K15:L15"/>
    <mergeCell ref="D18:F18"/>
    <mergeCell ref="I18:J18"/>
  </mergeCells>
  <pageMargins left="0.70866141732283472" right="0.31496062992125984" top="0.23622047244094491" bottom="0.23622047244094491" header="7.874015748031496E-2" footer="7.874015748031496E-2"/>
  <pageSetup paperSize="9" scale="74" fitToHeight="0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AB930-A10E-4936-AD52-172DADA0B6FE}">
  <sheetPr codeName="Sheet45">
    <tabColor rgb="FFFFC000"/>
    <pageSetUpPr fitToPage="1"/>
  </sheetPr>
  <dimension ref="B1:W49"/>
  <sheetViews>
    <sheetView zoomScaleNormal="100" workbookViewId="0">
      <selection activeCell="B1" sqref="B1:L4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726562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451</v>
      </c>
      <c r="J10" s="17" t="s">
        <v>26</v>
      </c>
      <c r="K10" s="442">
        <v>202311070</v>
      </c>
      <c r="L10" s="443"/>
    </row>
    <row r="11" spans="2:14" ht="20.149999999999999" customHeight="1" x14ac:dyDescent="0.45">
      <c r="B11" s="444" t="s">
        <v>803</v>
      </c>
      <c r="C11" s="445"/>
      <c r="D11" s="446"/>
      <c r="E11" s="61"/>
      <c r="F11" s="444" t="str">
        <f>VLOOKUP(H10,'Delivery Location'!A$4:N$423,2,0)</f>
        <v>Jalan Besar Dessert Stall                     Block 166, Berseh Food Centre,         Jalan Besar #02-58,                               Singapore 208877</v>
      </c>
      <c r="G11" s="445"/>
      <c r="H11" s="446"/>
      <c r="J11" s="18" t="s">
        <v>9</v>
      </c>
      <c r="K11" s="453">
        <v>45233</v>
      </c>
      <c r="L11" s="454"/>
    </row>
    <row r="12" spans="2:14" ht="20.149999999999999" customHeight="1" x14ac:dyDescent="0.45">
      <c r="B12" s="447" t="s">
        <v>804</v>
      </c>
      <c r="C12" s="448"/>
      <c r="D12" s="449"/>
      <c r="E12" s="61"/>
      <c r="F12" s="447"/>
      <c r="G12" s="448"/>
      <c r="H12" s="449"/>
      <c r="J12" s="18" t="s">
        <v>81</v>
      </c>
      <c r="K12" s="438" t="s">
        <v>312</v>
      </c>
      <c r="L12" s="439"/>
      <c r="N12" s="60" t="s">
        <v>1478</v>
      </c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38" t="s">
        <v>1305</v>
      </c>
      <c r="L13" s="439"/>
      <c r="N13" s="45" t="s">
        <v>1199</v>
      </c>
    </row>
    <row r="14" spans="2:14" ht="20.149999999999999" customHeight="1" x14ac:dyDescent="0.45">
      <c r="B14" s="156"/>
      <c r="C14" s="61"/>
      <c r="D14" s="157"/>
      <c r="E14" s="61"/>
      <c r="F14" s="447"/>
      <c r="G14" s="448"/>
      <c r="H14" s="449"/>
      <c r="J14" s="18" t="s">
        <v>27</v>
      </c>
      <c r="K14" s="438" t="s">
        <v>14</v>
      </c>
      <c r="L14" s="439"/>
      <c r="N14" s="172" t="s">
        <v>1220</v>
      </c>
    </row>
    <row r="15" spans="2:14" ht="18" customHeight="1" thickBot="1" x14ac:dyDescent="0.5">
      <c r="B15" s="63"/>
      <c r="C15" s="64"/>
      <c r="D15" s="158"/>
      <c r="E15" s="14"/>
      <c r="F15" s="450"/>
      <c r="G15" s="451"/>
      <c r="H15" s="452"/>
      <c r="J15" s="19" t="s">
        <v>11</v>
      </c>
      <c r="K15" s="139" t="s">
        <v>605</v>
      </c>
      <c r="L15" s="138"/>
    </row>
    <row r="16" spans="2:14" ht="19" thickBot="1" x14ac:dyDescent="0.5">
      <c r="I16" s="62"/>
      <c r="J16" s="25"/>
      <c r="N16" s="60">
        <f>13/5*1.5</f>
        <v>3.9000000000000004</v>
      </c>
    </row>
    <row r="17" spans="2:23" ht="30" customHeight="1" thickBot="1" x14ac:dyDescent="0.5">
      <c r="B17" s="41" t="s">
        <v>2</v>
      </c>
      <c r="C17" s="42" t="s">
        <v>3</v>
      </c>
      <c r="D17" s="159" t="s">
        <v>4</v>
      </c>
      <c r="E17" s="160"/>
      <c r="F17" s="161"/>
      <c r="G17" s="58" t="s">
        <v>335</v>
      </c>
      <c r="H17" s="42" t="s">
        <v>28</v>
      </c>
      <c r="I17" s="159" t="s">
        <v>57</v>
      </c>
      <c r="J17" s="161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3" ht="20.149999999999999" customHeight="1" x14ac:dyDescent="0.45">
      <c r="B18" s="21"/>
      <c r="C18" s="338" t="s">
        <v>816</v>
      </c>
      <c r="D18" s="430" t="str">
        <f>VLOOKUP(C18,'Sales Master'!B$3:D$644,2,0)</f>
        <v xml:space="preserve">Fresh Soursop 红毛榴莲 </v>
      </c>
      <c r="E18" s="430"/>
      <c r="F18" s="430"/>
      <c r="G18" s="99">
        <v>1</v>
      </c>
      <c r="H18" s="241" t="str">
        <f>VLOOKUP(C18,'Sales Master'!B$3:F$936,5,0)</f>
        <v>5 KGS/ Pkt包</v>
      </c>
      <c r="I18" s="432" t="str">
        <f>VLOOKUP(C18,'Sales Master'!B$3:E$936,4,0)</f>
        <v>DO!</v>
      </c>
      <c r="J18" s="432"/>
      <c r="K18" s="96">
        <f>VLOOKUP(C18,'Sales Master'!B$3:S$527,18,0)</f>
        <v>34</v>
      </c>
      <c r="L18" s="98">
        <f t="shared" ref="L18" si="0">K18*G18</f>
        <v>34</v>
      </c>
      <c r="N18" s="247">
        <f>VLOOKUP(C18,'Sales Master'!$B$3:$FA$3051,156,0)</f>
        <v>23.67</v>
      </c>
      <c r="O18" s="247">
        <f>K18-N18</f>
        <v>10.329999999999998</v>
      </c>
      <c r="P18" s="247">
        <f t="shared" ref="P18" si="1">O18*G18</f>
        <v>10.329999999999998</v>
      </c>
      <c r="R18" s="60">
        <v>1</v>
      </c>
      <c r="S18" s="60" t="s">
        <v>33</v>
      </c>
      <c r="T18" s="60" t="s">
        <v>407</v>
      </c>
      <c r="V18" s="60">
        <v>25</v>
      </c>
      <c r="W18" s="60">
        <v>27</v>
      </c>
    </row>
    <row r="19" spans="2:23" ht="20.149999999999999" customHeight="1" x14ac:dyDescent="0.45">
      <c r="B19" s="21"/>
      <c r="C19" s="338" t="s">
        <v>820</v>
      </c>
      <c r="D19" s="430" t="str">
        <f>VLOOKUP(C19,'Sales Master'!B$3:D$644,2,0)</f>
        <v>Durian Puree 榴莲浆</v>
      </c>
      <c r="E19" s="430"/>
      <c r="F19" s="430"/>
      <c r="G19" s="233">
        <v>1</v>
      </c>
      <c r="H19" s="241" t="str">
        <f>VLOOKUP(C19,'Sales Master'!B$3:F$936,5,0)</f>
        <v>Box/盒</v>
      </c>
      <c r="I19" s="432" t="str">
        <f>VLOOKUP(C19,'Sales Master'!B$3:E$936,4,0)</f>
        <v>DO!</v>
      </c>
      <c r="J19" s="432"/>
      <c r="K19" s="96">
        <f>VLOOKUP(C19,'Sales Master'!B$3:S$527,18,0)</f>
        <v>7</v>
      </c>
      <c r="L19" s="98">
        <f t="shared" ref="L19:L24" si="2">K19*G19</f>
        <v>7</v>
      </c>
      <c r="N19" s="247">
        <f>VLOOKUP(C19,'Sales Master'!$B$3:$FA$3051,156,0)</f>
        <v>4.71</v>
      </c>
      <c r="O19" s="247">
        <f t="shared" ref="O19:O24" si="3">K19-N19</f>
        <v>2.29</v>
      </c>
      <c r="P19" s="247">
        <f t="shared" ref="P19:P24" si="4">O19*G19</f>
        <v>2.29</v>
      </c>
    </row>
    <row r="20" spans="2:23" ht="20.149999999999999" customHeight="1" x14ac:dyDescent="0.45">
      <c r="B20" s="21"/>
      <c r="C20" s="338" t="s">
        <v>918</v>
      </c>
      <c r="D20" s="430" t="str">
        <f>VLOOKUP(C20,'Sales Master'!B$3:D$644,2,0)</f>
        <v>Chin Chow 仙草</v>
      </c>
      <c r="E20" s="430"/>
      <c r="F20" s="430"/>
      <c r="G20" s="233">
        <v>1</v>
      </c>
      <c r="H20" s="241" t="str">
        <f>VLOOKUP(C20,'Sales Master'!B$3:F$936,5,0)</f>
        <v>5KGS/PKT</v>
      </c>
      <c r="I20" s="432" t="str">
        <f>VLOOKUP(C20,'Sales Master'!B$3:E$936,4,0)</f>
        <v>TSM</v>
      </c>
      <c r="J20" s="432"/>
      <c r="K20" s="96">
        <f>VLOOKUP(C20,'Sales Master'!B$3:S$527,18,0)</f>
        <v>5</v>
      </c>
      <c r="L20" s="98">
        <f t="shared" si="2"/>
        <v>5</v>
      </c>
      <c r="N20" s="247">
        <f>VLOOKUP(C20,'Sales Master'!$B$3:$FA$3051,156,0)</f>
        <v>4.32</v>
      </c>
      <c r="O20" s="247">
        <f t="shared" si="3"/>
        <v>0.67999999999999972</v>
      </c>
      <c r="P20" s="247">
        <f t="shared" si="4"/>
        <v>0.67999999999999972</v>
      </c>
    </row>
    <row r="21" spans="2:23" ht="20.149999999999999" customHeight="1" x14ac:dyDescent="0.45">
      <c r="B21" s="21"/>
      <c r="C21" s="338" t="s">
        <v>929</v>
      </c>
      <c r="D21" s="430" t="str">
        <f>VLOOKUP(C21,'Sales Master'!B$3:D$644,2,0)</f>
        <v>Small Red Bean 小红豆</v>
      </c>
      <c r="E21" s="430"/>
      <c r="F21" s="430"/>
      <c r="G21" s="233">
        <v>3</v>
      </c>
      <c r="H21" s="241" t="str">
        <f>VLOOKUP(C21,'Sales Master'!B$3:F$936,5,0)</f>
        <v>2.5 KGS</v>
      </c>
      <c r="I21" s="432" t="str">
        <f>VLOOKUP(C21,'Sales Master'!B$3:E$936,4,0)</f>
        <v>-</v>
      </c>
      <c r="J21" s="432"/>
      <c r="K21" s="96">
        <f>VLOOKUP(C21,'Sales Master'!B$3:S$527,18,0)</f>
        <v>9.5</v>
      </c>
      <c r="L21" s="98">
        <f t="shared" si="2"/>
        <v>28.5</v>
      </c>
      <c r="N21" s="247">
        <f>VLOOKUP(C21,'Sales Master'!$B$3:$FA$3051,156,0)</f>
        <v>6.8849999999999989</v>
      </c>
      <c r="O21" s="247">
        <f t="shared" si="3"/>
        <v>2.6150000000000011</v>
      </c>
      <c r="P21" s="247">
        <f t="shared" si="4"/>
        <v>7.8450000000000033</v>
      </c>
    </row>
    <row r="22" spans="2:23" ht="20.149999999999999" customHeight="1" x14ac:dyDescent="0.45">
      <c r="B22" s="70"/>
      <c r="C22" s="338" t="s">
        <v>1080</v>
      </c>
      <c r="D22" s="430" t="str">
        <f>VLOOKUP(C22,'Sales Master'!B$3:D$644,2,0)</f>
        <v>Fine Sugar 白糖</v>
      </c>
      <c r="E22" s="430"/>
      <c r="F22" s="430"/>
      <c r="G22" s="45">
        <v>1</v>
      </c>
      <c r="H22" s="241" t="str">
        <f>VLOOKUP(C22,'Sales Master'!B$3:F$936,5,0)</f>
        <v>25 KGS</v>
      </c>
      <c r="I22" s="432" t="str">
        <f>VLOOKUP(C22,'Sales Master'!B$3:E$936,4,0)</f>
        <v>MITR PHOL</v>
      </c>
      <c r="J22" s="432"/>
      <c r="K22" s="96">
        <f>VLOOKUP(C22,'Sales Master'!B$3:S$527,18,0)</f>
        <v>34</v>
      </c>
      <c r="L22" s="98">
        <f t="shared" si="2"/>
        <v>34</v>
      </c>
      <c r="N22" s="247">
        <f>VLOOKUP(C22,'Sales Master'!$B$3:$FA$3051,156,0)</f>
        <v>26.784000000000002</v>
      </c>
      <c r="O22" s="247">
        <f t="shared" si="3"/>
        <v>7.2159999999999975</v>
      </c>
      <c r="P22" s="247">
        <f t="shared" si="4"/>
        <v>7.2159999999999975</v>
      </c>
    </row>
    <row r="23" spans="2:23" ht="20.149999999999999" customHeight="1" x14ac:dyDescent="0.45">
      <c r="B23" s="70"/>
      <c r="C23" s="338" t="s">
        <v>1090</v>
      </c>
      <c r="D23" s="430" t="str">
        <f>VLOOKUP(C23,'Sales Master'!B$3:D$644,2,0)</f>
        <v>Candy Sugar 片糖</v>
      </c>
      <c r="E23" s="430"/>
      <c r="F23" s="430"/>
      <c r="G23" s="45">
        <v>5</v>
      </c>
      <c r="H23" s="241" t="str">
        <f>VLOOKUP(C23,'Sales Master'!B$3:F$936,5,0)</f>
        <v>400 GMS</v>
      </c>
      <c r="I23" s="432" t="str">
        <f>VLOOKUP(C23,'Sales Master'!B$3:E$936,4,0)</f>
        <v>-</v>
      </c>
      <c r="J23" s="432"/>
      <c r="K23" s="96">
        <f>VLOOKUP(C23,'Sales Master'!B$3:S$527,18,0)</f>
        <v>1</v>
      </c>
      <c r="L23" s="98">
        <f t="shared" si="2"/>
        <v>5</v>
      </c>
      <c r="N23" s="247">
        <f>VLOOKUP(C23,'Sales Master'!$B$3:$FA$3051,156,0)</f>
        <v>0.8</v>
      </c>
      <c r="O23" s="247">
        <f t="shared" si="3"/>
        <v>0.19999999999999996</v>
      </c>
      <c r="P23" s="247">
        <f t="shared" si="4"/>
        <v>0.99999999999999978</v>
      </c>
    </row>
    <row r="24" spans="2:23" ht="20.149999999999999" customHeight="1" x14ac:dyDescent="0.45">
      <c r="B24" s="70"/>
      <c r="C24" s="338" t="s">
        <v>1108</v>
      </c>
      <c r="D24" s="430" t="str">
        <f>VLOOKUP(C24,'Sales Master'!B$3:D$644,2,0)</f>
        <v>Food Coloring - Liquid) 颜色水</v>
      </c>
      <c r="E24" s="430"/>
      <c r="F24" s="430"/>
      <c r="G24" s="45">
        <v>1</v>
      </c>
      <c r="H24" s="241" t="str">
        <f>VLOOKUP(C24,'Sales Master'!B$3:F$936,5,0)</f>
        <v>500 ML/ Btl支</v>
      </c>
      <c r="I24" s="432" t="str">
        <f>VLOOKUP(C24,'Sales Master'!B$3:E$936,4,0)</f>
        <v>Black/黑</v>
      </c>
      <c r="J24" s="432"/>
      <c r="K24" s="96">
        <f>VLOOKUP(C24,'Sales Master'!B$3:S$527,18,0)</f>
        <v>5.5</v>
      </c>
      <c r="L24" s="98">
        <f t="shared" si="2"/>
        <v>5.5</v>
      </c>
      <c r="N24" s="247">
        <f>VLOOKUP(C24,'Sales Master'!$B$3:$FA$3051,156,0)</f>
        <v>4.32</v>
      </c>
      <c r="O24" s="247">
        <f t="shared" si="3"/>
        <v>1.1799999999999997</v>
      </c>
      <c r="P24" s="247">
        <f t="shared" si="4"/>
        <v>1.1799999999999997</v>
      </c>
    </row>
    <row r="25" spans="2:23" ht="20.149999999999999" customHeight="1" x14ac:dyDescent="0.45">
      <c r="B25" s="21"/>
      <c r="C25" s="338"/>
      <c r="D25" s="430"/>
      <c r="E25" s="430"/>
      <c r="F25" s="430"/>
      <c r="G25" s="45"/>
      <c r="H25" s="241"/>
      <c r="I25" s="432"/>
      <c r="J25" s="432"/>
      <c r="K25" s="96"/>
      <c r="L25" s="98"/>
      <c r="N25" s="247"/>
      <c r="O25" s="247"/>
      <c r="P25" s="247"/>
    </row>
    <row r="26" spans="2:23" ht="20.149999999999999" customHeight="1" x14ac:dyDescent="0.45">
      <c r="B26" s="21"/>
      <c r="C26" s="338"/>
      <c r="D26" s="430"/>
      <c r="E26" s="430"/>
      <c r="F26" s="430"/>
      <c r="G26" s="233"/>
      <c r="H26" s="241"/>
      <c r="I26" s="432"/>
      <c r="J26" s="432"/>
      <c r="K26" s="96"/>
      <c r="L26" s="98"/>
      <c r="N26" s="247"/>
      <c r="O26" s="247"/>
      <c r="P26" s="247"/>
    </row>
    <row r="27" spans="2:23" ht="20.149999999999999" customHeight="1" x14ac:dyDescent="0.45">
      <c r="B27" s="21"/>
      <c r="C27" s="338"/>
      <c r="D27" s="430"/>
      <c r="E27" s="430"/>
      <c r="F27" s="430"/>
      <c r="G27" s="233"/>
      <c r="H27" s="241"/>
      <c r="I27" s="432"/>
      <c r="J27" s="432"/>
      <c r="K27" s="96"/>
      <c r="L27" s="98"/>
      <c r="N27" s="247"/>
      <c r="O27" s="247"/>
      <c r="P27" s="247"/>
    </row>
    <row r="28" spans="2:23" ht="20.149999999999999" customHeight="1" x14ac:dyDescent="0.45">
      <c r="B28" s="21"/>
      <c r="C28" s="338"/>
      <c r="D28" s="430"/>
      <c r="E28" s="430"/>
      <c r="F28" s="430"/>
      <c r="G28" s="99"/>
      <c r="H28" s="241"/>
      <c r="I28" s="432"/>
      <c r="J28" s="432"/>
      <c r="K28" s="96"/>
      <c r="L28" s="98"/>
      <c r="N28" s="247"/>
      <c r="O28" s="247"/>
      <c r="P28" s="247"/>
    </row>
    <row r="29" spans="2:23" ht="20.149999999999999" customHeight="1" x14ac:dyDescent="0.45">
      <c r="B29" s="21"/>
      <c r="C29" s="338"/>
      <c r="D29" s="430"/>
      <c r="E29" s="430"/>
      <c r="F29" s="430"/>
      <c r="G29" s="99"/>
      <c r="H29" s="241"/>
      <c r="I29" s="432"/>
      <c r="J29" s="432"/>
      <c r="K29" s="96"/>
      <c r="L29" s="98"/>
      <c r="N29" s="247"/>
      <c r="O29" s="247"/>
      <c r="P29" s="247"/>
    </row>
    <row r="30" spans="2:23" ht="20.149999999999999" customHeight="1" x14ac:dyDescent="0.45">
      <c r="B30" s="21"/>
      <c r="C30" s="45"/>
      <c r="D30" s="69"/>
      <c r="E30" s="69"/>
      <c r="F30" s="69"/>
      <c r="G30" s="99"/>
      <c r="H30" s="241"/>
      <c r="I30" s="322"/>
      <c r="J30" s="322"/>
      <c r="K30" s="96"/>
      <c r="L30" s="98"/>
      <c r="N30" s="247"/>
      <c r="O30" s="247"/>
      <c r="P30" s="247"/>
    </row>
    <row r="31" spans="2:23" ht="20.149999999999999" customHeight="1" x14ac:dyDescent="0.45">
      <c r="B31" s="21"/>
      <c r="C31" s="305" t="s">
        <v>1742</v>
      </c>
      <c r="G31" s="233"/>
      <c r="H31" s="65"/>
      <c r="I31" s="65"/>
      <c r="J31" s="65"/>
      <c r="K31" s="22"/>
      <c r="L31" s="98"/>
      <c r="N31" s="247"/>
      <c r="O31" s="247"/>
      <c r="P31" s="247"/>
    </row>
    <row r="32" spans="2:23" ht="20.149999999999999" customHeight="1" x14ac:dyDescent="0.45">
      <c r="B32" s="21"/>
      <c r="C32" s="338" t="s">
        <v>816</v>
      </c>
      <c r="D32" s="430" t="str">
        <f>VLOOKUP(C32,'Sales Master'!B$3:D$644,2,0)</f>
        <v xml:space="preserve">Fresh Soursop 红毛榴莲 </v>
      </c>
      <c r="E32" s="430"/>
      <c r="F32" s="430"/>
      <c r="G32" s="233">
        <v>1</v>
      </c>
      <c r="H32" s="241" t="str">
        <f>VLOOKUP(C32,'Sales Master'!B$3:F$936,5,0)</f>
        <v>5 KGS/ Pkt包</v>
      </c>
      <c r="I32" s="432" t="str">
        <f>VLOOKUP(C32,'Sales Master'!B$3:E$936,4,0)</f>
        <v>DO!</v>
      </c>
      <c r="J32" s="432"/>
      <c r="K32" s="22">
        <v>34</v>
      </c>
      <c r="L32" s="98"/>
      <c r="N32" s="247"/>
      <c r="O32" s="247"/>
      <c r="P32" s="247"/>
    </row>
    <row r="33" spans="2:16" ht="20.149999999999999" customHeight="1" x14ac:dyDescent="0.45">
      <c r="B33" s="21"/>
      <c r="C33" s="45"/>
      <c r="D33" s="430"/>
      <c r="E33" s="430"/>
      <c r="F33" s="430"/>
      <c r="G33" s="233"/>
      <c r="H33" s="241"/>
      <c r="I33" s="432"/>
      <c r="J33" s="432"/>
      <c r="K33" s="96"/>
      <c r="L33" s="98"/>
      <c r="N33" s="247"/>
      <c r="O33" s="247"/>
      <c r="P33" s="247"/>
    </row>
    <row r="34" spans="2:16" ht="20.149999999999999" customHeight="1" thickBot="1" x14ac:dyDescent="0.5">
      <c r="B34" s="24"/>
      <c r="C34" s="25"/>
      <c r="D34" s="62"/>
      <c r="E34" s="62"/>
      <c r="F34" s="62"/>
      <c r="G34" s="25"/>
      <c r="H34" s="66"/>
      <c r="I34" s="66"/>
      <c r="J34" s="66"/>
      <c r="K34" s="119"/>
      <c r="L34" s="27"/>
      <c r="N34" s="247"/>
      <c r="O34" s="247"/>
      <c r="P34" s="247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62" t="s">
        <v>13</v>
      </c>
      <c r="K36" s="163"/>
      <c r="L36" s="30">
        <f>SUM(L15:L35)</f>
        <v>119</v>
      </c>
      <c r="M36" s="95">
        <f>SUM(P11:P34)-L36*0.02</f>
        <v>28.160999999999998</v>
      </c>
      <c r="N36" s="405">
        <f>M36-L37</f>
        <v>19.346185185185185</v>
      </c>
    </row>
    <row r="37" spans="2:16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0" t="s">
        <v>553</v>
      </c>
      <c r="K37" s="113">
        <v>6.54E-2</v>
      </c>
      <c r="L37" s="32">
        <f>L39</f>
        <v>8.8148148148148149</v>
      </c>
    </row>
    <row r="38" spans="2:16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164" t="s">
        <v>555</v>
      </c>
      <c r="K38" s="165"/>
      <c r="L38" s="114">
        <f>L36/108*100</f>
        <v>110.18518518518519</v>
      </c>
      <c r="M38" s="95"/>
    </row>
    <row r="39" spans="2:16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1" t="s">
        <v>554</v>
      </c>
      <c r="K39" s="112">
        <v>0.08</v>
      </c>
      <c r="L39" s="44">
        <f>L38*K39</f>
        <v>8.8148148148148149</v>
      </c>
    </row>
    <row r="40" spans="2:16" ht="20.149999999999999" customHeight="1" thickBot="1" x14ac:dyDescent="0.5">
      <c r="B40" s="11" t="s">
        <v>748</v>
      </c>
      <c r="C40" s="10"/>
      <c r="D40" s="10"/>
      <c r="E40" s="10"/>
      <c r="F40" s="10"/>
      <c r="G40" s="10"/>
      <c r="H40" s="10"/>
      <c r="I40" s="10"/>
      <c r="J40" s="37" t="s">
        <v>21</v>
      </c>
      <c r="K40" s="38"/>
      <c r="L40" s="33">
        <f>L38+L39</f>
        <v>119</v>
      </c>
    </row>
    <row r="41" spans="2:16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83" t="s">
        <v>749</v>
      </c>
      <c r="L42" s="29"/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38">
    <mergeCell ref="B1:L8"/>
    <mergeCell ref="F11:H15"/>
    <mergeCell ref="K10:L10"/>
    <mergeCell ref="K11:L11"/>
    <mergeCell ref="K12:L12"/>
    <mergeCell ref="K13:L13"/>
    <mergeCell ref="K14:L14"/>
    <mergeCell ref="B11:D11"/>
    <mergeCell ref="B12:D12"/>
    <mergeCell ref="B13:D13"/>
    <mergeCell ref="D33:F33"/>
    <mergeCell ref="I33:J33"/>
    <mergeCell ref="D21:F21"/>
    <mergeCell ref="I21:J21"/>
    <mergeCell ref="D28:F28"/>
    <mergeCell ref="I28:J28"/>
    <mergeCell ref="I26:J26"/>
    <mergeCell ref="D26:F26"/>
    <mergeCell ref="I25:J25"/>
    <mergeCell ref="D25:F25"/>
    <mergeCell ref="D22:F22"/>
    <mergeCell ref="D23:F23"/>
    <mergeCell ref="I23:J23"/>
    <mergeCell ref="I24:J24"/>
    <mergeCell ref="D24:F24"/>
    <mergeCell ref="I22:J22"/>
    <mergeCell ref="D29:F29"/>
    <mergeCell ref="I29:J29"/>
    <mergeCell ref="D18:F18"/>
    <mergeCell ref="I18:J18"/>
    <mergeCell ref="D32:F32"/>
    <mergeCell ref="I32:J32"/>
    <mergeCell ref="D19:F19"/>
    <mergeCell ref="I19:J19"/>
    <mergeCell ref="D20:F20"/>
    <mergeCell ref="I20:J20"/>
    <mergeCell ref="D27:F27"/>
    <mergeCell ref="I27:J27"/>
  </mergeCells>
  <conditionalFormatting sqref="C19:C20">
    <cfRule type="duplicateValues" dxfId="115" priority="291"/>
  </conditionalFormatting>
  <conditionalFormatting sqref="C31">
    <cfRule type="duplicateValues" dxfId="114" priority="1"/>
  </conditionalFormatting>
  <conditionalFormatting sqref="C33">
    <cfRule type="duplicateValues" dxfId="113" priority="2"/>
  </conditionalFormatting>
  <pageMargins left="0.70866141732283505" right="0.31496062992126" top="0.55118110236220497" bottom="0" header="0.31496062992126" footer="0.31496062992126"/>
  <pageSetup paperSize="9" scale="75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B29A1-1E82-4D23-B7EC-C97A9DC5EB1C}">
  <sheetPr codeName="Sheet57">
    <tabColor rgb="FFFFC000"/>
    <pageSetUpPr fitToPage="1"/>
  </sheetPr>
  <dimension ref="B1:V52"/>
  <sheetViews>
    <sheetView topLeftCell="A29" zoomScaleNormal="100" workbookViewId="0">
      <selection activeCell="B1" sqref="B1:L4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9.54296875" style="60" customWidth="1"/>
    <col min="9" max="9" width="4.54296875" style="60" customWidth="1"/>
    <col min="10" max="10" width="15.08984375" style="60" customWidth="1"/>
    <col min="11" max="11" width="10.9062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453</v>
      </c>
      <c r="J10" s="17" t="s">
        <v>26</v>
      </c>
      <c r="K10" s="455">
        <v>202311073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利发                                                           Blk.210  Toa Payoh Lorong 8                              #01-80 Singapore 310210</v>
      </c>
      <c r="G11" s="445"/>
      <c r="H11" s="446"/>
      <c r="J11" s="18" t="s">
        <v>9</v>
      </c>
      <c r="K11" s="460">
        <v>45233</v>
      </c>
      <c r="L11" s="461"/>
      <c r="N11" s="172" t="s">
        <v>618</v>
      </c>
    </row>
    <row r="12" spans="2:14" ht="20.149999999999999" customHeight="1" x14ac:dyDescent="0.45">
      <c r="B12" s="462" t="s">
        <v>1730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  <c r="N13" s="172" t="s">
        <v>1220</v>
      </c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167" t="s">
        <v>620</v>
      </c>
      <c r="L15" s="138"/>
    </row>
    <row r="16" spans="2:14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20.149999999999999" customHeight="1" x14ac:dyDescent="0.45">
      <c r="B18" s="175"/>
      <c r="C18" s="370" t="s">
        <v>934</v>
      </c>
      <c r="D18" s="496" t="str">
        <f>VLOOKUP(C18,'Sales Master'!B$3:D$644,2,0)</f>
        <v>Chia Tao赤豆</v>
      </c>
      <c r="E18" s="496"/>
      <c r="F18" s="496"/>
      <c r="G18" s="99">
        <v>3</v>
      </c>
      <c r="H18" s="261" t="str">
        <f>VLOOKUP(C18,'Sales Master'!B$3:F$936,5,0)</f>
        <v>5 kgs</v>
      </c>
      <c r="I18" s="432" t="str">
        <f>VLOOKUP(C18,'Sales Master'!B$3:E$936,4,0)</f>
        <v>RE-PACK</v>
      </c>
      <c r="J18" s="432"/>
      <c r="K18" s="184">
        <f>VLOOKUP(C18,'Sales Master'!B$3:X$936,23,0)</f>
        <v>16</v>
      </c>
      <c r="L18" s="23">
        <f t="shared" ref="L18" si="0">K18*G18</f>
        <v>48</v>
      </c>
      <c r="N18" s="247">
        <f>VLOOKUP(C18,'Sales Master'!$B$3:$FA$3051,156,0)</f>
        <v>12.42</v>
      </c>
      <c r="O18" s="247">
        <f>K18-N18</f>
        <v>3.58</v>
      </c>
      <c r="P18" s="247">
        <f>O18*G18</f>
        <v>10.74</v>
      </c>
      <c r="R18" s="60">
        <v>12</v>
      </c>
      <c r="S18" s="60" t="s">
        <v>392</v>
      </c>
      <c r="T18" s="60" t="s">
        <v>394</v>
      </c>
      <c r="V18" s="60">
        <v>1.1000000000000001</v>
      </c>
    </row>
    <row r="19" spans="2:22" ht="20.149999999999999" customHeight="1" x14ac:dyDescent="0.45">
      <c r="B19" s="175"/>
      <c r="C19" s="370" t="s">
        <v>1059</v>
      </c>
      <c r="D19" s="496" t="str">
        <f>VLOOKUP(C19,'Sales Master'!B$3:D$644,2,0)</f>
        <v>Coconut Milk 椰浆</v>
      </c>
      <c r="E19" s="496"/>
      <c r="F19" s="496"/>
      <c r="G19" s="99">
        <v>1</v>
      </c>
      <c r="H19" s="261" t="str">
        <f>VLOOKUP(C19,'Sales Master'!B$3:F$936,5,0)</f>
        <v>(1L x 12bag)/箱</v>
      </c>
      <c r="I19" s="432" t="str">
        <f>VLOOKUP(C19,'Sales Master'!B$3:E$936,4,0)</f>
        <v>Kara UHT</v>
      </c>
      <c r="J19" s="432"/>
      <c r="K19" s="22">
        <f>VLOOKUP(C19,'Sales Master'!B$3:X$936,23,0)</f>
        <v>41.5</v>
      </c>
      <c r="L19" s="23">
        <f t="shared" ref="L19" si="1">K19*G19</f>
        <v>41.5</v>
      </c>
      <c r="N19" s="247">
        <f>VLOOKUP(C19,'Sales Master'!$B$3:$FA$3051,156,0)</f>
        <v>35.799999999999997</v>
      </c>
      <c r="O19" s="247">
        <f t="shared" ref="O19" si="2">K19-N19</f>
        <v>5.7000000000000028</v>
      </c>
      <c r="P19" s="247">
        <f t="shared" ref="P19" si="3">O19*G19</f>
        <v>5.7000000000000028</v>
      </c>
      <c r="R19" s="60">
        <v>2</v>
      </c>
      <c r="S19" s="60" t="s">
        <v>33</v>
      </c>
      <c r="T19" s="60" t="s">
        <v>73</v>
      </c>
      <c r="V19" s="60">
        <v>12</v>
      </c>
    </row>
    <row r="20" spans="2:22" ht="20.149999999999999" customHeight="1" x14ac:dyDescent="0.45">
      <c r="B20" s="175"/>
      <c r="C20" s="370"/>
      <c r="D20" s="496"/>
      <c r="E20" s="496"/>
      <c r="F20" s="496"/>
      <c r="G20" s="99"/>
      <c r="H20" s="261"/>
      <c r="I20" s="432"/>
      <c r="J20" s="432"/>
      <c r="K20" s="22"/>
      <c r="L20" s="23"/>
      <c r="N20" s="247"/>
      <c r="O20" s="247"/>
      <c r="P20" s="247"/>
    </row>
    <row r="21" spans="2:22" ht="20.149999999999999" customHeight="1" x14ac:dyDescent="0.45">
      <c r="B21" s="175"/>
      <c r="C21" s="370"/>
      <c r="D21" s="516"/>
      <c r="E21" s="516"/>
      <c r="F21" s="516"/>
      <c r="G21" s="99"/>
      <c r="H21" s="261"/>
      <c r="I21" s="432"/>
      <c r="J21" s="432"/>
      <c r="K21" s="22"/>
      <c r="L21" s="23"/>
      <c r="N21" s="247"/>
      <c r="O21" s="247"/>
      <c r="P21" s="247"/>
    </row>
    <row r="22" spans="2:22" ht="20.149999999999999" customHeight="1" x14ac:dyDescent="0.45">
      <c r="B22" s="175"/>
      <c r="C22" s="370"/>
      <c r="D22" s="496"/>
      <c r="E22" s="496"/>
      <c r="F22" s="496"/>
      <c r="G22" s="99"/>
      <c r="H22" s="261"/>
      <c r="I22" s="432"/>
      <c r="J22" s="432"/>
      <c r="K22" s="22"/>
      <c r="L22" s="23"/>
      <c r="N22" s="247"/>
      <c r="O22" s="247"/>
      <c r="P22" s="247"/>
    </row>
    <row r="23" spans="2:22" ht="20.149999999999999" customHeight="1" x14ac:dyDescent="0.45">
      <c r="B23" s="175"/>
      <c r="C23" s="370"/>
      <c r="D23" s="496"/>
      <c r="E23" s="496"/>
      <c r="F23" s="496"/>
      <c r="G23" s="99"/>
      <c r="H23" s="261"/>
      <c r="I23" s="432"/>
      <c r="J23" s="432"/>
      <c r="K23" s="22"/>
      <c r="L23" s="23"/>
      <c r="N23" s="247"/>
      <c r="O23" s="247"/>
      <c r="P23" s="247"/>
    </row>
    <row r="24" spans="2:22" ht="20.149999999999999" customHeight="1" x14ac:dyDescent="0.45">
      <c r="B24" s="175"/>
      <c r="C24" s="370"/>
      <c r="D24" s="496"/>
      <c r="E24" s="496"/>
      <c r="F24" s="496"/>
      <c r="G24" s="99"/>
      <c r="H24" s="261"/>
      <c r="I24" s="432"/>
      <c r="J24" s="432"/>
      <c r="K24" s="22"/>
      <c r="L24" s="23"/>
      <c r="N24" s="247"/>
      <c r="O24" s="247"/>
      <c r="P24" s="247"/>
    </row>
    <row r="25" spans="2:22" ht="20.149999999999999" customHeight="1" x14ac:dyDescent="0.45">
      <c r="B25" s="175"/>
      <c r="C25" s="370"/>
      <c r="D25" s="496"/>
      <c r="E25" s="496"/>
      <c r="F25" s="496"/>
      <c r="G25" s="99"/>
      <c r="H25" s="261"/>
      <c r="I25" s="432"/>
      <c r="J25" s="432"/>
      <c r="K25" s="22"/>
      <c r="L25" s="23"/>
      <c r="N25" s="247"/>
      <c r="O25" s="247"/>
      <c r="P25" s="247"/>
    </row>
    <row r="26" spans="2:22" ht="20.149999999999999" customHeight="1" x14ac:dyDescent="0.45">
      <c r="B26" s="175"/>
      <c r="C26" s="370"/>
      <c r="D26" s="496"/>
      <c r="E26" s="496"/>
      <c r="F26" s="496"/>
      <c r="G26" s="99"/>
      <c r="H26" s="261"/>
      <c r="I26" s="432"/>
      <c r="J26" s="432"/>
      <c r="K26" s="22"/>
      <c r="L26" s="23"/>
      <c r="N26" s="247"/>
      <c r="O26" s="247"/>
      <c r="P26" s="247"/>
    </row>
    <row r="27" spans="2:22" ht="20.149999999999999" customHeight="1" x14ac:dyDescent="0.45">
      <c r="B27" s="175"/>
      <c r="C27" s="370"/>
      <c r="D27" s="496"/>
      <c r="E27" s="496"/>
      <c r="F27" s="496"/>
      <c r="G27" s="99"/>
      <c r="H27" s="261"/>
      <c r="I27" s="432"/>
      <c r="J27" s="432"/>
      <c r="K27" s="22"/>
      <c r="L27" s="23"/>
      <c r="N27" s="247"/>
      <c r="O27" s="247"/>
      <c r="P27" s="247"/>
    </row>
    <row r="28" spans="2:22" ht="20" customHeight="1" x14ac:dyDescent="0.45">
      <c r="B28" s="175"/>
      <c r="C28" s="338"/>
      <c r="D28" s="496"/>
      <c r="E28" s="496"/>
      <c r="F28" s="496"/>
      <c r="G28" s="99"/>
      <c r="H28" s="261"/>
      <c r="I28" s="432"/>
      <c r="J28" s="432"/>
      <c r="K28" s="22"/>
      <c r="L28" s="23"/>
      <c r="N28" s="247"/>
      <c r="O28" s="247"/>
      <c r="P28" s="247"/>
    </row>
    <row r="29" spans="2:22" ht="20" customHeight="1" x14ac:dyDescent="0.45">
      <c r="B29" s="175"/>
      <c r="C29" s="338"/>
      <c r="D29" s="130"/>
      <c r="E29" s="130"/>
      <c r="F29" s="130"/>
      <c r="G29" s="99"/>
      <c r="H29" s="261"/>
      <c r="I29" s="322"/>
      <c r="J29" s="322"/>
      <c r="K29" s="22"/>
      <c r="L29" s="23"/>
      <c r="N29" s="247"/>
      <c r="O29" s="247"/>
      <c r="P29" s="247"/>
    </row>
    <row r="30" spans="2:22" ht="20" customHeight="1" x14ac:dyDescent="0.45">
      <c r="B30" s="175"/>
      <c r="C30" s="338"/>
      <c r="D30" s="496"/>
      <c r="E30" s="496"/>
      <c r="F30" s="496"/>
      <c r="G30" s="99"/>
      <c r="H30" s="261"/>
      <c r="I30" s="432"/>
      <c r="J30" s="432"/>
      <c r="K30" s="22"/>
      <c r="L30" s="23"/>
      <c r="N30" s="247"/>
      <c r="O30" s="247"/>
      <c r="P30" s="247"/>
    </row>
    <row r="31" spans="2:22" ht="20.149999999999999" customHeight="1" x14ac:dyDescent="0.45">
      <c r="B31" s="175"/>
      <c r="C31" s="305" t="s">
        <v>1738</v>
      </c>
      <c r="E31" s="69"/>
      <c r="F31" s="69"/>
      <c r="G31" s="99"/>
      <c r="H31" s="65"/>
      <c r="I31" s="65"/>
      <c r="J31" s="65"/>
      <c r="K31" s="22"/>
      <c r="L31" s="23"/>
      <c r="N31" s="247"/>
      <c r="O31" s="247"/>
      <c r="P31" s="247"/>
    </row>
    <row r="32" spans="2:22" ht="20.149999999999999" customHeight="1" x14ac:dyDescent="0.45">
      <c r="B32" s="175"/>
      <c r="C32" s="338" t="s">
        <v>1080</v>
      </c>
      <c r="D32" s="496" t="str">
        <f>VLOOKUP(C32,'Sales Master'!B$3:D$644,2,0)</f>
        <v>Fine Sugar 白糖</v>
      </c>
      <c r="E32" s="496"/>
      <c r="F32" s="496"/>
      <c r="G32" s="99">
        <v>1</v>
      </c>
      <c r="H32" s="261" t="str">
        <f>VLOOKUP(C32,'Sales Master'!B$3:F$936,5,0)</f>
        <v>25 KGS</v>
      </c>
      <c r="I32" s="432" t="str">
        <f>VLOOKUP(C32,'Sales Master'!B$3:E$936,4,0)</f>
        <v>MITR PHOL</v>
      </c>
      <c r="J32" s="432"/>
      <c r="K32" s="22">
        <v>34</v>
      </c>
      <c r="L32" s="23"/>
      <c r="N32" s="247"/>
      <c r="O32" s="247"/>
      <c r="P32" s="247"/>
    </row>
    <row r="33" spans="2:16" ht="20.149999999999999" customHeight="1" x14ac:dyDescent="0.45">
      <c r="B33" s="175"/>
      <c r="L33" s="23"/>
      <c r="N33" s="247"/>
      <c r="O33" s="247"/>
      <c r="P33" s="247"/>
    </row>
    <row r="34" spans="2:16" ht="20.149999999999999" customHeight="1" thickBot="1" x14ac:dyDescent="0.5">
      <c r="B34" s="24"/>
      <c r="C34" s="25"/>
      <c r="D34" s="515"/>
      <c r="E34" s="515"/>
      <c r="F34" s="515"/>
      <c r="G34" s="25"/>
      <c r="H34" s="66"/>
      <c r="I34" s="66"/>
      <c r="J34" s="66"/>
      <c r="K34" s="26"/>
      <c r="L34" s="27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474" t="s">
        <v>13</v>
      </c>
      <c r="K36" s="475"/>
      <c r="L36" s="30">
        <f>SUM(L17:L35)</f>
        <v>89.5</v>
      </c>
      <c r="M36" s="95">
        <f>SUM(P18:P35)</f>
        <v>16.440000000000005</v>
      </c>
      <c r="N36" s="405">
        <f>M36-L37</f>
        <v>9.8103703703703751</v>
      </c>
    </row>
    <row r="37" spans="2:16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0" t="s">
        <v>553</v>
      </c>
      <c r="K37" s="113">
        <v>6.54E-2</v>
      </c>
      <c r="L37" s="32">
        <f>L39</f>
        <v>6.6296296296296298</v>
      </c>
    </row>
    <row r="38" spans="2:16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476" t="s">
        <v>555</v>
      </c>
      <c r="K38" s="477"/>
      <c r="L38" s="114">
        <f>L36/108*100</f>
        <v>82.870370370370367</v>
      </c>
    </row>
    <row r="39" spans="2:16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1" t="s">
        <v>554</v>
      </c>
      <c r="K39" s="112">
        <v>0.08</v>
      </c>
      <c r="L39" s="44">
        <f>L38*K39</f>
        <v>6.6296296296296298</v>
      </c>
    </row>
    <row r="40" spans="2:16" ht="20.149999999999999" customHeight="1" thickBot="1" x14ac:dyDescent="0.5">
      <c r="B40" s="11" t="s">
        <v>748</v>
      </c>
      <c r="C40" s="10"/>
      <c r="D40" s="10"/>
      <c r="E40" s="10"/>
      <c r="F40" s="10"/>
      <c r="G40" s="10"/>
      <c r="H40" s="10"/>
      <c r="I40" s="10"/>
      <c r="J40" s="478" t="s">
        <v>21</v>
      </c>
      <c r="K40" s="479"/>
      <c r="L40" s="33">
        <f>L38+L39</f>
        <v>89.5</v>
      </c>
    </row>
    <row r="41" spans="2:16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83" t="s">
        <v>749</v>
      </c>
      <c r="L42" s="29"/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24</v>
      </c>
      <c r="J47" s="60" t="s">
        <v>25</v>
      </c>
      <c r="L47" s="29"/>
    </row>
    <row r="48" spans="2:16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51" spans="3:11" x14ac:dyDescent="0.45">
      <c r="C51" s="141" t="s">
        <v>618</v>
      </c>
      <c r="D51" s="141"/>
    </row>
    <row r="52" spans="3:11" x14ac:dyDescent="0.45">
      <c r="C52" s="45" t="s">
        <v>863</v>
      </c>
      <c r="D52" s="514" t="str">
        <f>VLOOKUP(C52,'Sales Master'!B$3:D$644,2,0)</f>
        <v>Chin Chow powder 仙草粉</v>
      </c>
      <c r="E52" s="514"/>
      <c r="F52" s="514"/>
      <c r="G52" s="99">
        <v>1</v>
      </c>
      <c r="H52" s="176" t="str">
        <f>VLOOKUP(C52,'Sales Master'!B$3:F$936,5,0)</f>
        <v>2 kgs (20 X 100GM)</v>
      </c>
      <c r="I52" s="431" t="str">
        <f>VLOOKUP(C52,'Sales Master'!B$3:E$936,4,0)</f>
        <v>-</v>
      </c>
      <c r="J52" s="431"/>
      <c r="K52" s="22">
        <v>28</v>
      </c>
    </row>
  </sheetData>
  <mergeCells count="46"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19:J19"/>
    <mergeCell ref="D19:F19"/>
    <mergeCell ref="D32:F32"/>
    <mergeCell ref="I32:J32"/>
    <mergeCell ref="D27:F27"/>
    <mergeCell ref="I27:J27"/>
    <mergeCell ref="D30:F30"/>
    <mergeCell ref="I28:J28"/>
    <mergeCell ref="I30:J30"/>
    <mergeCell ref="D28:F28"/>
    <mergeCell ref="D20:F20"/>
    <mergeCell ref="I20:J20"/>
    <mergeCell ref="D21:F21"/>
    <mergeCell ref="I21:J21"/>
    <mergeCell ref="I23:J23"/>
    <mergeCell ref="D23:F23"/>
    <mergeCell ref="D22:F22"/>
    <mergeCell ref="I22:J22"/>
    <mergeCell ref="D52:F52"/>
    <mergeCell ref="I52:J52"/>
    <mergeCell ref="J40:K40"/>
    <mergeCell ref="D34:F34"/>
    <mergeCell ref="J36:K36"/>
    <mergeCell ref="J38:K38"/>
    <mergeCell ref="D26:F26"/>
    <mergeCell ref="I25:J25"/>
    <mergeCell ref="I26:J26"/>
    <mergeCell ref="I24:J24"/>
    <mergeCell ref="D25:F25"/>
    <mergeCell ref="D24:F24"/>
  </mergeCells>
  <conditionalFormatting sqref="C28:C30">
    <cfRule type="duplicateValues" dxfId="112" priority="290"/>
  </conditionalFormatting>
  <conditionalFormatting sqref="C31">
    <cfRule type="duplicateValues" dxfId="111" priority="1"/>
  </conditionalFormatting>
  <conditionalFormatting sqref="C32">
    <cfRule type="duplicateValues" dxfId="110" priority="2"/>
  </conditionalFormatting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E329C-51FE-44BD-8308-3866BB33A6E2}">
  <sheetPr codeName="Sheet43">
    <tabColor rgb="FFFFC000"/>
    <pageSetUpPr fitToPage="1"/>
  </sheetPr>
  <dimension ref="B1:P49"/>
  <sheetViews>
    <sheetView topLeftCell="B29" zoomScaleNormal="100" workbookViewId="0">
      <selection activeCell="L27" sqref="L2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7265625" style="60" customWidth="1"/>
    <col min="9" max="9" width="2.54296875" style="60" customWidth="1"/>
    <col min="10" max="10" width="14" style="60" customWidth="1"/>
    <col min="11" max="11" width="10.54296875" style="60" customWidth="1"/>
    <col min="12" max="16384" width="12.54296875" style="60"/>
  </cols>
  <sheetData>
    <row r="1" spans="2:15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5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5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5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5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5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  <c r="N6" s="60" t="s">
        <v>334</v>
      </c>
    </row>
    <row r="7" spans="2:15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5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5" ht="19" thickBot="1" x14ac:dyDescent="0.5"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462</v>
      </c>
      <c r="J10" s="17" t="s">
        <v>26</v>
      </c>
      <c r="K10" s="442">
        <v>202311137</v>
      </c>
      <c r="L10" s="443"/>
    </row>
    <row r="11" spans="2:15" ht="20.149999999999999" customHeight="1" x14ac:dyDescent="0.45">
      <c r="B11" s="153"/>
      <c r="C11" s="154"/>
      <c r="D11" s="155"/>
      <c r="E11" s="61"/>
      <c r="F11" s="444" t="str">
        <f>VLOOKUP(H10,'Delivery Location'!A$4:N$423,2,0)</f>
        <v>通发甜品                                                   Blk 409 Ang Mo Kio Ave 10, #01-18 Singapore 560409</v>
      </c>
      <c r="G11" s="445"/>
      <c r="H11" s="446"/>
      <c r="J11" s="18" t="s">
        <v>9</v>
      </c>
      <c r="K11" s="453">
        <v>45236</v>
      </c>
      <c r="L11" s="454"/>
    </row>
    <row r="12" spans="2:15" ht="20.149999999999999" customHeight="1" x14ac:dyDescent="0.45">
      <c r="B12" s="156"/>
      <c r="C12" s="61"/>
      <c r="D12" s="157"/>
      <c r="E12" s="61"/>
      <c r="F12" s="447"/>
      <c r="G12" s="448"/>
      <c r="H12" s="449"/>
      <c r="J12" s="18" t="s">
        <v>81</v>
      </c>
      <c r="K12" s="438" t="s">
        <v>312</v>
      </c>
      <c r="L12" s="439"/>
    </row>
    <row r="13" spans="2:15" ht="20.149999999999999" customHeight="1" x14ac:dyDescent="0.45">
      <c r="B13" s="156"/>
      <c r="C13" s="61"/>
      <c r="D13" s="157"/>
      <c r="E13" s="61"/>
      <c r="F13" s="447"/>
      <c r="G13" s="448"/>
      <c r="H13" s="449"/>
      <c r="J13" s="18" t="s">
        <v>10</v>
      </c>
      <c r="K13" s="438" t="s">
        <v>83</v>
      </c>
      <c r="L13" s="439"/>
    </row>
    <row r="14" spans="2:15" ht="20.149999999999999" customHeight="1" x14ac:dyDescent="0.45">
      <c r="B14" s="156"/>
      <c r="C14" s="61"/>
      <c r="D14" s="157"/>
      <c r="E14" s="61"/>
      <c r="F14" s="447"/>
      <c r="G14" s="448"/>
      <c r="H14" s="449"/>
      <c r="J14" s="18" t="s">
        <v>27</v>
      </c>
      <c r="K14" s="438" t="s">
        <v>14</v>
      </c>
      <c r="L14" s="439"/>
      <c r="N14" s="305" t="s">
        <v>1346</v>
      </c>
    </row>
    <row r="15" spans="2:15" ht="18" customHeight="1" thickBot="1" x14ac:dyDescent="0.5">
      <c r="B15" s="63"/>
      <c r="C15" s="64"/>
      <c r="D15" s="158"/>
      <c r="E15" s="14"/>
      <c r="F15" s="450"/>
      <c r="G15" s="451"/>
      <c r="H15" s="452"/>
      <c r="J15" s="19" t="s">
        <v>11</v>
      </c>
      <c r="K15" s="139" t="s">
        <v>605</v>
      </c>
      <c r="L15" s="138"/>
      <c r="N15" s="60" t="s">
        <v>1285</v>
      </c>
      <c r="O15" s="60" t="s">
        <v>1463</v>
      </c>
    </row>
    <row r="16" spans="2:15" ht="19" thickBot="1" x14ac:dyDescent="0.5">
      <c r="J16" s="45"/>
      <c r="K16" s="60" t="s">
        <v>334</v>
      </c>
    </row>
    <row r="17" spans="2:16" ht="30" customHeight="1" thickBot="1" x14ac:dyDescent="0.5">
      <c r="B17" s="41" t="s">
        <v>2</v>
      </c>
      <c r="C17" s="42" t="s">
        <v>3</v>
      </c>
      <c r="D17" s="159" t="s">
        <v>4</v>
      </c>
      <c r="E17" s="160"/>
      <c r="F17" s="161"/>
      <c r="G17" s="58" t="s">
        <v>335</v>
      </c>
      <c r="H17" s="42" t="s">
        <v>28</v>
      </c>
      <c r="I17" s="159" t="s">
        <v>57</v>
      </c>
      <c r="J17" s="161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149"/>
      <c r="C18" s="338" t="s">
        <v>887</v>
      </c>
      <c r="D18" s="430" t="str">
        <f>VLOOKUP(C18,'Sales Master'!B$3:D$644,2,0)</f>
        <v>Sweet Potato Powder 番薯粉</v>
      </c>
      <c r="E18" s="430"/>
      <c r="F18" s="430"/>
      <c r="G18" s="99">
        <v>2</v>
      </c>
      <c r="H18" s="206" t="str">
        <f>VLOOKUP(C18,'Sales Master'!B$3:F$936,5,0)</f>
        <v>3 kgs</v>
      </c>
      <c r="I18" s="432" t="str">
        <f>VLOOKUP(C18,'Sales Master'!B$3:E$936,4,0)</f>
        <v>RE-PACK</v>
      </c>
      <c r="J18" s="432"/>
      <c r="K18" s="184">
        <f>VLOOKUP(C18,'Sales Master'!B$3:AT$527,45,0)</f>
        <v>11</v>
      </c>
      <c r="L18" s="71">
        <f t="shared" ref="L18" si="0">K18*G18</f>
        <v>22</v>
      </c>
      <c r="N18" s="247">
        <f>VLOOKUP(C18,'Sales Master'!$B$3:$FA$3051,156,0)</f>
        <v>7.4399999999999995</v>
      </c>
      <c r="O18" s="247">
        <f t="shared" ref="O18" si="1">K18-N18</f>
        <v>3.5600000000000005</v>
      </c>
      <c r="P18" s="247">
        <f t="shared" ref="P18" si="2">O18*G18</f>
        <v>7.120000000000001</v>
      </c>
    </row>
    <row r="19" spans="2:16" ht="20.149999999999999" customHeight="1" x14ac:dyDescent="0.45">
      <c r="B19" s="149"/>
      <c r="C19" s="338" t="s">
        <v>903</v>
      </c>
      <c r="D19" s="430" t="str">
        <f>VLOOKUP(C19,'Sales Master'!B$3:D$644,2,0)</f>
        <v>Potato Starch 风车粉</v>
      </c>
      <c r="E19" s="430"/>
      <c r="F19" s="430"/>
      <c r="G19" s="99">
        <v>1</v>
      </c>
      <c r="H19" s="206" t="str">
        <f>VLOOKUP(C19,'Sales Master'!B$3:F$936,5,0)</f>
        <v>5 kg</v>
      </c>
      <c r="I19" s="432" t="str">
        <f>VLOOKUP(C19,'Sales Master'!B$3:E$936,4,0)</f>
        <v>RE-PACK</v>
      </c>
      <c r="J19" s="432"/>
      <c r="K19" s="184">
        <f>VLOOKUP(C19,'Sales Master'!B$3:AT$527,45,0)</f>
        <v>15</v>
      </c>
      <c r="L19" s="71">
        <f t="shared" ref="L19:L21" si="3">K19*G19</f>
        <v>15</v>
      </c>
      <c r="N19" s="247">
        <f>VLOOKUP(C19,'Sales Master'!$B$3:$FA$3051,156,0)</f>
        <v>8</v>
      </c>
      <c r="O19" s="247">
        <f t="shared" ref="O19:O21" si="4">K19-N19</f>
        <v>7</v>
      </c>
      <c r="P19" s="247">
        <f t="shared" ref="P19:P21" si="5">O19*G19</f>
        <v>7</v>
      </c>
    </row>
    <row r="20" spans="2:16" ht="20.149999999999999" customHeight="1" x14ac:dyDescent="0.45">
      <c r="B20" s="149"/>
      <c r="C20" s="338" t="s">
        <v>915</v>
      </c>
      <c r="D20" s="430" t="str">
        <f>VLOOKUP(C20,'Sales Master'!B$3:D$644,2,0)</f>
        <v>Atap Seeds in Syrup 亚嗒子</v>
      </c>
      <c r="E20" s="430"/>
      <c r="F20" s="430"/>
      <c r="G20" s="99">
        <v>2</v>
      </c>
      <c r="H20" s="206" t="str">
        <f>VLOOKUP(C20,'Sales Master'!B$3:F$936,5,0)</f>
        <v>NW (2.1:0.9) 3 kgs</v>
      </c>
      <c r="I20" s="432" t="str">
        <f>VLOOKUP(C20,'Sales Master'!B$3:E$936,4,0)</f>
        <v>2P</v>
      </c>
      <c r="J20" s="432"/>
      <c r="K20" s="184">
        <f>VLOOKUP(C20,'Sales Master'!B$3:AT$527,45,0)</f>
        <v>11.5</v>
      </c>
      <c r="L20" s="71">
        <f>K20*G20</f>
        <v>23</v>
      </c>
      <c r="N20" s="247">
        <f>VLOOKUP(C20,'Sales Master'!$B$3:$FA$3051,156,0)</f>
        <v>10.692</v>
      </c>
      <c r="O20" s="247">
        <f>K20-N20</f>
        <v>0.80799999999999983</v>
      </c>
      <c r="P20" s="247">
        <f>O20*G20</f>
        <v>1.6159999999999997</v>
      </c>
    </row>
    <row r="21" spans="2:16" ht="20.149999999999999" customHeight="1" x14ac:dyDescent="0.45">
      <c r="B21" s="149"/>
      <c r="C21" s="338" t="s">
        <v>924</v>
      </c>
      <c r="D21" s="430" t="str">
        <f>VLOOKUP(C21,'Sales Master'!B$3:D$644,2,0)</f>
        <v>Red Bean 红豆</v>
      </c>
      <c r="E21" s="430"/>
      <c r="F21" s="430"/>
      <c r="G21" s="99">
        <v>4</v>
      </c>
      <c r="H21" s="206" t="str">
        <f>VLOOKUP(C21,'Sales Master'!B$3:F$936,5,0)</f>
        <v>5 kgs</v>
      </c>
      <c r="I21" s="432" t="str">
        <f>VLOOKUP(C21,'Sales Master'!B$3:E$936,4,0)</f>
        <v>-</v>
      </c>
      <c r="J21" s="432"/>
      <c r="K21" s="184">
        <f>VLOOKUP(C21,'Sales Master'!B$3:AT$527,45,0)</f>
        <v>19</v>
      </c>
      <c r="L21" s="71">
        <f t="shared" si="3"/>
        <v>76</v>
      </c>
      <c r="N21" s="247">
        <f>VLOOKUP(C21,'Sales Master'!$B$3:$FA$3051,156,0)</f>
        <v>13.5</v>
      </c>
      <c r="O21" s="247">
        <f t="shared" si="4"/>
        <v>5.5</v>
      </c>
      <c r="P21" s="247">
        <f t="shared" si="5"/>
        <v>22</v>
      </c>
    </row>
    <row r="22" spans="2:16" ht="20.149999999999999" customHeight="1" x14ac:dyDescent="0.45">
      <c r="B22" s="149"/>
      <c r="C22" s="338" t="s">
        <v>937</v>
      </c>
      <c r="D22" s="430" t="str">
        <f>VLOOKUP(C22,'Sales Master'!B$3:D$644,2,0)</f>
        <v>Green Bean 绿豆</v>
      </c>
      <c r="E22" s="430"/>
      <c r="F22" s="430"/>
      <c r="G22" s="99">
        <v>1</v>
      </c>
      <c r="H22" s="206" t="str">
        <f>VLOOKUP(C22,'Sales Master'!B$3:F$936,5,0)</f>
        <v>5 KGS</v>
      </c>
      <c r="I22" s="432" t="str">
        <f>VLOOKUP(C22,'Sales Master'!B$3:E$936,4,0)</f>
        <v>-</v>
      </c>
      <c r="J22" s="432"/>
      <c r="K22" s="184">
        <f>VLOOKUP(C22,'Sales Master'!B$3:AT$527,45,0)</f>
        <v>14</v>
      </c>
      <c r="L22" s="71">
        <f t="shared" ref="L22:L27" si="6">K22*G22</f>
        <v>14</v>
      </c>
      <c r="N22" s="247">
        <f>VLOOKUP(C22,'Sales Master'!$B$3:$FA$3051,156,0)</f>
        <v>9.7199999999999989</v>
      </c>
      <c r="O22" s="247">
        <f t="shared" ref="O22:O27" si="7">K22-N22</f>
        <v>4.2800000000000011</v>
      </c>
      <c r="P22" s="247">
        <f t="shared" ref="P22:P27" si="8">O22*G22</f>
        <v>4.2800000000000011</v>
      </c>
    </row>
    <row r="23" spans="2:16" ht="20.149999999999999" customHeight="1" x14ac:dyDescent="0.45">
      <c r="B23" s="149"/>
      <c r="C23" s="338" t="s">
        <v>943</v>
      </c>
      <c r="D23" s="430" t="str">
        <f>VLOOKUP(C23,'Sales Master'!B$3:D$644,2,0)</f>
        <v>Split Green Mung Bean 豆爽</v>
      </c>
      <c r="E23" s="430"/>
      <c r="F23" s="430"/>
      <c r="G23" s="99">
        <v>2</v>
      </c>
      <c r="H23" s="206" t="str">
        <f>VLOOKUP(C23,'Sales Master'!B$3:F$936,5,0)</f>
        <v>5 KG</v>
      </c>
      <c r="I23" s="432" t="str">
        <f>VLOOKUP(C23,'Sales Master'!B$3:E$936,4,0)</f>
        <v>SW</v>
      </c>
      <c r="J23" s="432"/>
      <c r="K23" s="184">
        <f>VLOOKUP(C23,'Sales Master'!B$3:AT$527,45,0)</f>
        <v>17.5</v>
      </c>
      <c r="L23" s="71">
        <f t="shared" si="6"/>
        <v>35</v>
      </c>
      <c r="N23" s="247">
        <f>VLOOKUP(C23,'Sales Master'!$B$3:$FA$3051,156,0)</f>
        <v>14.040000000000001</v>
      </c>
      <c r="O23" s="247">
        <f t="shared" si="7"/>
        <v>3.4599999999999991</v>
      </c>
      <c r="P23" s="247">
        <f t="shared" si="8"/>
        <v>6.9199999999999982</v>
      </c>
    </row>
    <row r="24" spans="2:16" ht="20.149999999999999" customHeight="1" x14ac:dyDescent="0.45">
      <c r="B24" s="149"/>
      <c r="C24" s="338" t="s">
        <v>956</v>
      </c>
      <c r="D24" s="430" t="str">
        <f>VLOOKUP(C24,'Sales Master'!B$3:D$644,2,0)</f>
        <v>White Wheat 大麦</v>
      </c>
      <c r="E24" s="430"/>
      <c r="F24" s="430"/>
      <c r="G24" s="99">
        <v>1</v>
      </c>
      <c r="H24" s="206" t="str">
        <f>VLOOKUP(C24,'Sales Master'!B$3:F$936,5,0)</f>
        <v>10PKT/BAG</v>
      </c>
      <c r="I24" s="432" t="str">
        <f>VLOOKUP(C24,'Sales Master'!B$3:E$936,4,0)</f>
        <v>-</v>
      </c>
      <c r="J24" s="432"/>
      <c r="K24" s="184">
        <f>VLOOKUP(C24,'Sales Master'!B$3:AT$527,45,0)</f>
        <v>10.5</v>
      </c>
      <c r="L24" s="71">
        <f t="shared" si="6"/>
        <v>10.5</v>
      </c>
      <c r="N24" s="247">
        <f>VLOOKUP(C24,'Sales Master'!$B$3:$FA$3051,156,0)</f>
        <v>7.8</v>
      </c>
      <c r="O24" s="247">
        <f t="shared" si="7"/>
        <v>2.7</v>
      </c>
      <c r="P24" s="247">
        <f t="shared" si="8"/>
        <v>2.7</v>
      </c>
    </row>
    <row r="25" spans="2:16" ht="20.149999999999999" customHeight="1" x14ac:dyDescent="0.45">
      <c r="B25" s="149"/>
      <c r="C25" s="338" t="s">
        <v>958</v>
      </c>
      <c r="D25" s="430" t="str">
        <f>VLOOKUP(C25,'Sales Master'!B$3:D$644,2,0)</f>
        <v>Pearl Barley 薏米</v>
      </c>
      <c r="E25" s="430"/>
      <c r="F25" s="430"/>
      <c r="G25" s="99">
        <v>1</v>
      </c>
      <c r="H25" s="206" t="str">
        <f>VLOOKUP(C25,'Sales Master'!B$3:F$936,5,0)</f>
        <v>5 kgs</v>
      </c>
      <c r="I25" s="432" t="str">
        <f>VLOOKUP(C25,'Sales Master'!B$3:E$936,4,0)</f>
        <v>-</v>
      </c>
      <c r="J25" s="432"/>
      <c r="K25" s="184">
        <f>VLOOKUP(C25,'Sales Master'!B$3:AT$527,45,0)</f>
        <v>10</v>
      </c>
      <c r="L25" s="71">
        <f t="shared" si="6"/>
        <v>10</v>
      </c>
      <c r="N25" s="247">
        <f>VLOOKUP(C25,'Sales Master'!$B$3:$FA$3051,156,0)</f>
        <v>7.6</v>
      </c>
      <c r="O25" s="247">
        <f t="shared" si="7"/>
        <v>2.4000000000000004</v>
      </c>
      <c r="P25" s="247">
        <f t="shared" si="8"/>
        <v>2.4000000000000004</v>
      </c>
    </row>
    <row r="26" spans="2:16" ht="20.149999999999999" customHeight="1" x14ac:dyDescent="0.45">
      <c r="B26" s="149"/>
      <c r="C26" s="338" t="s">
        <v>965</v>
      </c>
      <c r="D26" s="430" t="str">
        <f>VLOOKUP(C26,'Sales Master'!B$3:D$644,2,0)</f>
        <v>Small Sago 小丸</v>
      </c>
      <c r="E26" s="430"/>
      <c r="F26" s="430"/>
      <c r="G26" s="99">
        <v>1</v>
      </c>
      <c r="H26" s="206" t="str">
        <f>VLOOKUP(C26,'Sales Master'!B$3:F$936,5,0)</f>
        <v>5 kgs</v>
      </c>
      <c r="I26" s="432" t="str">
        <f>VLOOKUP(C26,'Sales Master'!B$3:E$936,4,0)</f>
        <v>SW</v>
      </c>
      <c r="J26" s="432"/>
      <c r="K26" s="184">
        <f>VLOOKUP(C26,'Sales Master'!B$3:AT$527,45,0)</f>
        <v>10.8</v>
      </c>
      <c r="L26" s="71">
        <f t="shared" si="6"/>
        <v>10.8</v>
      </c>
      <c r="N26" s="247">
        <f>VLOOKUP(C26,'Sales Master'!$B$3:$FA$3051,156,0)</f>
        <v>7.416666666666667</v>
      </c>
      <c r="O26" s="247">
        <f t="shared" si="7"/>
        <v>3.3833333333333337</v>
      </c>
      <c r="P26" s="247">
        <f t="shared" si="8"/>
        <v>3.3833333333333337</v>
      </c>
    </row>
    <row r="27" spans="2:16" ht="20.149999999999999" customHeight="1" x14ac:dyDescent="0.45">
      <c r="B27" s="149"/>
      <c r="C27" s="338" t="s">
        <v>968</v>
      </c>
      <c r="D27" s="430" t="str">
        <f>VLOOKUP(C27,'Sales Master'!B$3:D$644,2,0)</f>
        <v>Dried Longan 龙眼干</v>
      </c>
      <c r="E27" s="430"/>
      <c r="F27" s="430"/>
      <c r="G27" s="99">
        <v>3</v>
      </c>
      <c r="H27" s="206" t="str">
        <f>VLOOKUP(C27,'Sales Master'!B$3:F$936,5,0)</f>
        <v>1 kg</v>
      </c>
      <c r="I27" s="432" t="str">
        <f>VLOOKUP(C27,'Sales Master'!B$3:E$936,4,0)</f>
        <v>AAA</v>
      </c>
      <c r="J27" s="432"/>
      <c r="K27" s="184">
        <f>VLOOKUP(C27,'Sales Master'!B$3:AT$527,45,0)</f>
        <v>13</v>
      </c>
      <c r="L27" s="71">
        <f t="shared" si="6"/>
        <v>39</v>
      </c>
      <c r="N27" s="247">
        <f>VLOOKUP(C27,'Sales Master'!$B$3:$FA$3051,156,0)</f>
        <v>8.8000000000000007</v>
      </c>
      <c r="O27" s="247">
        <f t="shared" si="7"/>
        <v>4.1999999999999993</v>
      </c>
      <c r="P27" s="247">
        <f t="shared" si="8"/>
        <v>12.599999999999998</v>
      </c>
    </row>
    <row r="28" spans="2:16" ht="20.149999999999999" customHeight="1" x14ac:dyDescent="0.45">
      <c r="B28" s="149"/>
      <c r="C28" s="338" t="s">
        <v>1027</v>
      </c>
      <c r="D28" s="430" t="str">
        <f>VLOOKUP(C28,'Sales Master'!B$3:D$644,2,0)</f>
        <v>Longan in Syrup 龙眼</v>
      </c>
      <c r="E28" s="430"/>
      <c r="F28" s="430"/>
      <c r="G28" s="99">
        <v>1</v>
      </c>
      <c r="H28" s="206" t="str">
        <f>VLOOKUP(C28,'Sales Master'!B$3:F$936,5,0)</f>
        <v>(565gm x 12)/箱</v>
      </c>
      <c r="I28" s="432" t="str">
        <f>VLOOKUP(C28,'Sales Master'!B$3:E$936,4,0)</f>
        <v>YiFong</v>
      </c>
      <c r="J28" s="432"/>
      <c r="K28" s="184">
        <f>VLOOKUP(C28,'Sales Master'!B$3:AT$527,45,0)</f>
        <v>25</v>
      </c>
      <c r="L28" s="71">
        <f t="shared" ref="L28" si="9">K28*G28</f>
        <v>25</v>
      </c>
      <c r="N28" s="247">
        <f>VLOOKUP(C28,'Sales Master'!$B$3:$FA$3051,156,0)</f>
        <v>19.534883720930232</v>
      </c>
      <c r="O28" s="247">
        <f t="shared" ref="O28" si="10">K28-N28</f>
        <v>5.4651162790697683</v>
      </c>
      <c r="P28" s="247">
        <f t="shared" ref="P28" si="11">O28*G28</f>
        <v>5.4651162790697683</v>
      </c>
    </row>
    <row r="29" spans="2:16" ht="20.149999999999999" customHeight="1" x14ac:dyDescent="0.45">
      <c r="B29" s="149"/>
      <c r="C29" s="338" t="s">
        <v>1285</v>
      </c>
      <c r="D29" s="430" t="str">
        <f>VLOOKUP(C29,'Sales Master'!B$3:D$644,2,0)</f>
        <v>CORN CREAM 玉米浆</v>
      </c>
      <c r="E29" s="430"/>
      <c r="F29" s="430"/>
      <c r="G29" s="99">
        <v>1</v>
      </c>
      <c r="H29" s="206" t="str">
        <f>VLOOKUP(C29,'Sales Master'!B$3:F$936,5,0)</f>
        <v>24 CAN/CARTON</v>
      </c>
      <c r="I29" s="432" t="str">
        <f>VLOOKUP(C29,'Sales Master'!B$3:E$936,4,0)</f>
        <v>GOLDEN BOY</v>
      </c>
      <c r="J29" s="432"/>
      <c r="K29" s="184">
        <f>VLOOKUP(C29,'Sales Master'!B$3:AT$527,45,0)</f>
        <v>22</v>
      </c>
      <c r="L29" s="71">
        <f t="shared" ref="L29:L30" si="12">K29*G29</f>
        <v>22</v>
      </c>
      <c r="N29" s="247">
        <f>VLOOKUP(C29,'Sales Master'!$B$3:$FA$3051,156,0)</f>
        <v>19</v>
      </c>
      <c r="O29" s="247">
        <f t="shared" ref="O29:O30" si="13">K29-N29</f>
        <v>3</v>
      </c>
      <c r="P29" s="247">
        <f t="shared" ref="P29:P30" si="14">O29*G29</f>
        <v>3</v>
      </c>
    </row>
    <row r="30" spans="2:16" ht="20.149999999999999" customHeight="1" x14ac:dyDescent="0.45">
      <c r="B30" s="149"/>
      <c r="C30" s="338" t="s">
        <v>1300</v>
      </c>
      <c r="D30" s="430" t="str">
        <f>VLOOKUP(C30,'Sales Master'!B$3:D$644,2,0)</f>
        <v>CORN WHOLE 玉米粒</v>
      </c>
      <c r="E30" s="430"/>
      <c r="F30" s="430"/>
      <c r="G30" s="99">
        <v>1</v>
      </c>
      <c r="H30" s="206" t="str">
        <f>VLOOKUP(C30,'Sales Master'!B$3:F$936,5,0)</f>
        <v>24 CAN/CARTON</v>
      </c>
      <c r="I30" s="432" t="str">
        <f>VLOOKUP(C30,'Sales Master'!B$3:E$936,4,0)</f>
        <v>GOLDEN BOY</v>
      </c>
      <c r="J30" s="432"/>
      <c r="K30" s="184">
        <f>VLOOKUP(C30,'Sales Master'!B$3:AT$527,45,0)</f>
        <v>22</v>
      </c>
      <c r="L30" s="71">
        <f t="shared" si="12"/>
        <v>22</v>
      </c>
      <c r="N30" s="247">
        <f>VLOOKUP(C30,'Sales Master'!$B$3:$FA$3051,156,0)</f>
        <v>18</v>
      </c>
      <c r="O30" s="247">
        <f t="shared" si="13"/>
        <v>4</v>
      </c>
      <c r="P30" s="247">
        <f t="shared" si="14"/>
        <v>4</v>
      </c>
    </row>
    <row r="31" spans="2:16" ht="20.149999999999999" customHeight="1" x14ac:dyDescent="0.45">
      <c r="B31" s="149"/>
      <c r="C31" s="338"/>
      <c r="D31" s="69"/>
      <c r="E31" s="69"/>
      <c r="F31" s="69"/>
      <c r="G31" s="99"/>
      <c r="H31" s="206"/>
      <c r="I31" s="322"/>
      <c r="J31" s="322"/>
      <c r="K31" s="184"/>
      <c r="L31" s="71"/>
      <c r="N31" s="247"/>
      <c r="O31" s="247"/>
      <c r="P31" s="247"/>
    </row>
    <row r="32" spans="2:16" ht="20.149999999999999" customHeight="1" x14ac:dyDescent="0.45">
      <c r="B32" s="149"/>
      <c r="C32" s="338"/>
      <c r="D32" s="430"/>
      <c r="E32" s="430"/>
      <c r="F32" s="430"/>
      <c r="G32" s="99"/>
      <c r="H32" s="206"/>
      <c r="I32" s="432"/>
      <c r="J32" s="432"/>
      <c r="K32" s="184"/>
      <c r="L32" s="71"/>
      <c r="N32" s="247"/>
      <c r="O32" s="247"/>
      <c r="P32" s="247"/>
    </row>
    <row r="33" spans="2:16" ht="20.149999999999999" customHeight="1" x14ac:dyDescent="0.45">
      <c r="B33" s="21"/>
      <c r="C33" s="69"/>
      <c r="D33" s="69"/>
      <c r="E33" s="69"/>
      <c r="F33" s="69"/>
      <c r="G33" s="99"/>
      <c r="H33" s="206"/>
      <c r="I33" s="322"/>
      <c r="J33" s="322"/>
      <c r="K33" s="184"/>
      <c r="L33" s="71"/>
      <c r="N33" s="247"/>
      <c r="O33" s="247"/>
      <c r="P33" s="247"/>
    </row>
    <row r="34" spans="2:16" ht="20.149999999999999" customHeight="1" thickBot="1" x14ac:dyDescent="0.5">
      <c r="B34" s="24"/>
      <c r="C34" s="25"/>
      <c r="D34" s="73"/>
      <c r="E34" s="73"/>
      <c r="F34" s="73"/>
      <c r="G34" s="25"/>
      <c r="H34" s="66"/>
      <c r="I34" s="166"/>
      <c r="J34" s="166"/>
      <c r="K34" s="26"/>
      <c r="L34" s="74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162" t="s">
        <v>13</v>
      </c>
      <c r="K36" s="163"/>
      <c r="L36" s="30">
        <f>SUM(L15:L35)</f>
        <v>324.3</v>
      </c>
      <c r="M36" s="95">
        <f>SUM(P9:P34)-L36*0.02</f>
        <v>75.998449612403093</v>
      </c>
      <c r="N36" s="248">
        <f>M36/L36</f>
        <v>0.23434612893124604</v>
      </c>
    </row>
    <row r="37" spans="2:16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0" t="s">
        <v>553</v>
      </c>
      <c r="K37" s="113">
        <v>6.54E-2</v>
      </c>
      <c r="L37" s="32">
        <f>L39</f>
        <v>24.022222222222222</v>
      </c>
      <c r="N37" s="95"/>
    </row>
    <row r="38" spans="2:16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164" t="s">
        <v>555</v>
      </c>
      <c r="K38" s="165"/>
      <c r="L38" s="114">
        <f>L36/108*100</f>
        <v>300.27777777777777</v>
      </c>
      <c r="N38" s="95"/>
    </row>
    <row r="39" spans="2:16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1" t="s">
        <v>554</v>
      </c>
      <c r="K39" s="112">
        <v>0.08</v>
      </c>
      <c r="L39" s="44">
        <f>L38*K39</f>
        <v>24.022222222222222</v>
      </c>
    </row>
    <row r="40" spans="2:16" ht="20.149999999999999" customHeight="1" thickBot="1" x14ac:dyDescent="0.5">
      <c r="B40" s="11" t="s">
        <v>748</v>
      </c>
      <c r="C40" s="10"/>
      <c r="D40" s="10"/>
      <c r="E40" s="10"/>
      <c r="F40" s="10"/>
      <c r="G40" s="10"/>
      <c r="H40" s="10"/>
      <c r="I40" s="10"/>
      <c r="J40" s="37" t="s">
        <v>21</v>
      </c>
      <c r="K40" s="38"/>
      <c r="L40" s="33">
        <f>L38+L39</f>
        <v>324.3</v>
      </c>
    </row>
    <row r="41" spans="2:16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83" t="s">
        <v>749</v>
      </c>
      <c r="L42" s="29" t="s">
        <v>334</v>
      </c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F45" s="316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24</v>
      </c>
      <c r="J47" s="60" t="s">
        <v>25</v>
      </c>
      <c r="L47" s="29"/>
    </row>
    <row r="48" spans="2:16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319"/>
    </row>
  </sheetData>
  <mergeCells count="35">
    <mergeCell ref="I18:J18"/>
    <mergeCell ref="D18:F18"/>
    <mergeCell ref="I19:J19"/>
    <mergeCell ref="D19:F19"/>
    <mergeCell ref="D21:F21"/>
    <mergeCell ref="B1:L8"/>
    <mergeCell ref="K10:L10"/>
    <mergeCell ref="K11:L11"/>
    <mergeCell ref="K12:L12"/>
    <mergeCell ref="K13:L13"/>
    <mergeCell ref="F11:H15"/>
    <mergeCell ref="K14:L14"/>
    <mergeCell ref="D32:F32"/>
    <mergeCell ref="I32:J32"/>
    <mergeCell ref="I24:J24"/>
    <mergeCell ref="I26:J26"/>
    <mergeCell ref="D27:F27"/>
    <mergeCell ref="D28:F28"/>
    <mergeCell ref="D29:F29"/>
    <mergeCell ref="D30:F30"/>
    <mergeCell ref="I27:J27"/>
    <mergeCell ref="I28:J28"/>
    <mergeCell ref="I29:J29"/>
    <mergeCell ref="I30:J30"/>
    <mergeCell ref="D26:F26"/>
    <mergeCell ref="D24:F24"/>
    <mergeCell ref="D25:F25"/>
    <mergeCell ref="I25:J25"/>
    <mergeCell ref="I21:J21"/>
    <mergeCell ref="D20:F20"/>
    <mergeCell ref="I20:J20"/>
    <mergeCell ref="I23:J23"/>
    <mergeCell ref="D22:F22"/>
    <mergeCell ref="I22:J22"/>
    <mergeCell ref="D23:F23"/>
  </mergeCells>
  <conditionalFormatting sqref="N14">
    <cfRule type="duplicateValues" dxfId="109" priority="5"/>
  </conditionalFormatting>
  <pageMargins left="0.70866141732283505" right="0.31496062992126" top="0.23622047244094499" bottom="0.23622047244094499" header="0.31496062992126" footer="0.31496062992126"/>
  <pageSetup paperSize="9" scale="76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2BD2D-0E93-4E3E-89E2-41B31CEBD774}">
  <sheetPr codeName="Sheet40">
    <tabColor rgb="FFFFC000"/>
    <pageSetUpPr fitToPage="1"/>
  </sheetPr>
  <dimension ref="B1:S48"/>
  <sheetViews>
    <sheetView topLeftCell="A4" zoomScaleNormal="100" workbookViewId="0">
      <selection activeCell="B1" sqref="B1:L4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2695312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22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465</v>
      </c>
      <c r="J10" s="17" t="s">
        <v>26</v>
      </c>
      <c r="K10" s="455">
        <v>202311126</v>
      </c>
      <c r="L10" s="456"/>
    </row>
    <row r="11" spans="2:14" ht="20.149999999999999" customHeight="1" x14ac:dyDescent="0.45">
      <c r="B11" s="480" t="s">
        <v>1447</v>
      </c>
      <c r="C11" s="481"/>
      <c r="D11" s="482"/>
      <c r="E11" s="61"/>
      <c r="F11" s="444" t="str">
        <f>VLOOKUP(H10,'Delivery Location'!A$4:N$423,2,0)</f>
        <v>美江冷热甜品                                           Blk 503 West Coast Drive，#01-15 Singapore 120503</v>
      </c>
      <c r="G11" s="445"/>
      <c r="H11" s="446"/>
      <c r="J11" s="18" t="s">
        <v>9</v>
      </c>
      <c r="K11" s="460">
        <v>45236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N12" s="172" t="s">
        <v>618</v>
      </c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  <c r="N14" s="60" t="s">
        <v>1234</v>
      </c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9" ht="20.149999999999999" customHeight="1" x14ac:dyDescent="0.45">
      <c r="B18" s="21"/>
      <c r="C18" s="338" t="s">
        <v>821</v>
      </c>
      <c r="D18" s="430" t="str">
        <f>VLOOKUP(C18,'Sales Master'!B$3:D$644,2,0)</f>
        <v>Mango Puree 芒果浆</v>
      </c>
      <c r="E18" s="430"/>
      <c r="F18" s="430"/>
      <c r="G18" s="99">
        <v>1</v>
      </c>
      <c r="H18" s="313" t="str">
        <f>VLOOKUP(C18,'Sales Master'!B$3:F$936,5,0)</f>
        <v>Box/盒</v>
      </c>
      <c r="I18" s="517" t="str">
        <f>VLOOKUP(C18,'Sales Master'!B$3:E$936,4,0)</f>
        <v>DO!</v>
      </c>
      <c r="J18" s="517"/>
      <c r="K18" s="213">
        <f>VLOOKUP(C18,'Sales Master'!B$3:AR$527,43,0)</f>
        <v>7</v>
      </c>
      <c r="L18" s="98">
        <f t="shared" ref="L18" si="0">K18*G18</f>
        <v>7</v>
      </c>
      <c r="N18" s="247">
        <f>VLOOKUP(C18,'Sales Master'!$B$3:$FA$3051,156,0)</f>
        <v>2.15</v>
      </c>
      <c r="O18" s="247">
        <f t="shared" ref="O18" si="1">K18-N18</f>
        <v>4.8499999999999996</v>
      </c>
      <c r="P18" s="247">
        <f t="shared" ref="P18" si="2">O18*G18</f>
        <v>4.8499999999999996</v>
      </c>
      <c r="R18" s="339"/>
      <c r="S18" s="94"/>
    </row>
    <row r="19" spans="2:19" ht="20.149999999999999" customHeight="1" x14ac:dyDescent="0.45">
      <c r="B19" s="21"/>
      <c r="C19" s="338" t="s">
        <v>820</v>
      </c>
      <c r="D19" s="430" t="str">
        <f>VLOOKUP(C19,'Sales Master'!B$3:D$644,2,0)</f>
        <v>Durian Puree 榴莲浆</v>
      </c>
      <c r="E19" s="430"/>
      <c r="F19" s="430"/>
      <c r="G19" s="99">
        <v>1</v>
      </c>
      <c r="H19" s="313" t="str">
        <f>VLOOKUP(C19,'Sales Master'!B$3:F$936,5,0)</f>
        <v>Box/盒</v>
      </c>
      <c r="I19" s="518" t="str">
        <f>VLOOKUP(C19,'Sales Master'!B$3:E$936,4,0)</f>
        <v>DO!</v>
      </c>
      <c r="J19" s="518"/>
      <c r="K19" s="213">
        <f>VLOOKUP(C19,'Sales Master'!B$3:AR$527,43,0)</f>
        <v>9</v>
      </c>
      <c r="L19" s="98">
        <f t="shared" ref="L19" si="3">K19*G19</f>
        <v>9</v>
      </c>
      <c r="N19" s="247">
        <f>VLOOKUP(C19,'Sales Master'!$B$3:$FA$3051,156,0)</f>
        <v>4.71</v>
      </c>
      <c r="O19" s="247">
        <f t="shared" ref="O19" si="4">K19-N19</f>
        <v>4.29</v>
      </c>
      <c r="P19" s="247">
        <f t="shared" ref="P19" si="5">O19*G19</f>
        <v>4.29</v>
      </c>
      <c r="R19" s="339">
        <f t="shared" ref="R19" si="6">N19*G19*0.07</f>
        <v>0.32970000000000005</v>
      </c>
      <c r="S19" s="94"/>
    </row>
    <row r="20" spans="2:19" ht="20.149999999999999" customHeight="1" x14ac:dyDescent="0.45">
      <c r="B20" s="21"/>
      <c r="C20" s="338" t="s">
        <v>822</v>
      </c>
      <c r="D20" s="430" t="str">
        <f>VLOOKUP(C20,'Sales Master'!B$3:D$644,2,0)</f>
        <v>Strawberry Puree 草莓</v>
      </c>
      <c r="E20" s="430"/>
      <c r="F20" s="430"/>
      <c r="G20" s="99">
        <v>1</v>
      </c>
      <c r="H20" s="313" t="str">
        <f>VLOOKUP(C20,'Sales Master'!B$3:F$936,5,0)</f>
        <v>Box/盒</v>
      </c>
      <c r="I20" s="518" t="str">
        <f>VLOOKUP(C20,'Sales Master'!B$3:E$936,4,0)</f>
        <v>DO!</v>
      </c>
      <c r="J20" s="518"/>
      <c r="K20" s="213">
        <f>VLOOKUP(C20,'Sales Master'!B$3:AR$527,43,0)</f>
        <v>10</v>
      </c>
      <c r="L20" s="98">
        <f t="shared" ref="L20" si="7">K20*G20</f>
        <v>10</v>
      </c>
      <c r="N20" s="247">
        <f>VLOOKUP(C20,'Sales Master'!$B$3:$FA$3051,156,0)</f>
        <v>4.68</v>
      </c>
      <c r="O20" s="247">
        <f t="shared" ref="O20" si="8">K20-N20</f>
        <v>5.32</v>
      </c>
      <c r="P20" s="247">
        <f t="shared" ref="P20" si="9">O20*G20</f>
        <v>5.32</v>
      </c>
      <c r="R20" s="339">
        <f t="shared" ref="R20" si="10">N20*G20*0.07</f>
        <v>0.3276</v>
      </c>
      <c r="S20" s="94"/>
    </row>
    <row r="21" spans="2:19" ht="20.149999999999999" customHeight="1" x14ac:dyDescent="0.45">
      <c r="B21" s="21"/>
      <c r="C21" s="338" t="s">
        <v>972</v>
      </c>
      <c r="D21" s="430" t="str">
        <f>VLOOKUP(C21,'Sales Master'!B$3:D$644,2,0)</f>
        <v>Fungus 黄 木耳朵</v>
      </c>
      <c r="E21" s="430"/>
      <c r="F21" s="430"/>
      <c r="G21" s="99">
        <v>1</v>
      </c>
      <c r="H21" s="313" t="str">
        <f>VLOOKUP(C21,'Sales Master'!B$3:F$936,5,0)</f>
        <v>1 kg</v>
      </c>
      <c r="I21" s="518" t="str">
        <f>VLOOKUP(C21,'Sales Master'!B$3:E$936,4,0)</f>
        <v>黄</v>
      </c>
      <c r="J21" s="518"/>
      <c r="K21" s="213">
        <f>VLOOKUP(C21,'Sales Master'!B$3:AR$527,43,0)</f>
        <v>16</v>
      </c>
      <c r="L21" s="98">
        <f t="shared" ref="L21" si="11">K21*G21</f>
        <v>16</v>
      </c>
      <c r="N21" s="247">
        <f>VLOOKUP(C21,'Sales Master'!$B$3:$FA$3051,156,0)</f>
        <v>11</v>
      </c>
      <c r="O21" s="247">
        <f t="shared" ref="O21" si="12">K21-N21</f>
        <v>5</v>
      </c>
      <c r="P21" s="247">
        <f t="shared" ref="P21" si="13">O21*G21</f>
        <v>5</v>
      </c>
      <c r="R21" s="339">
        <f>N21*G21*0.07</f>
        <v>0.77</v>
      </c>
      <c r="S21" s="94"/>
    </row>
    <row r="22" spans="2:19" ht="20.149999999999999" customHeight="1" x14ac:dyDescent="0.45">
      <c r="B22" s="21"/>
      <c r="C22" s="338" t="s">
        <v>968</v>
      </c>
      <c r="D22" s="430" t="str">
        <f>VLOOKUP(C22,'Sales Master'!B$3:D$644,2,0)</f>
        <v>Dried Longan 龙眼干</v>
      </c>
      <c r="E22" s="430"/>
      <c r="F22" s="430"/>
      <c r="G22" s="99">
        <v>1</v>
      </c>
      <c r="H22" s="313" t="str">
        <f>VLOOKUP(C22,'Sales Master'!B$3:F$936,5,0)</f>
        <v>1 kg</v>
      </c>
      <c r="I22" s="518" t="str">
        <f>VLOOKUP(C22,'Sales Master'!B$3:E$936,4,0)</f>
        <v>AAA</v>
      </c>
      <c r="J22" s="518"/>
      <c r="K22" s="213">
        <f>VLOOKUP(C22,'Sales Master'!B$3:AR$527,43,0)</f>
        <v>13</v>
      </c>
      <c r="L22" s="98">
        <f>K22*G22</f>
        <v>13</v>
      </c>
      <c r="N22" s="247">
        <f>VLOOKUP(C22,'Sales Master'!$B$3:$FA$3051,156,0)</f>
        <v>8.8000000000000007</v>
      </c>
      <c r="O22" s="247">
        <f>K22-N22</f>
        <v>4.1999999999999993</v>
      </c>
      <c r="P22" s="247">
        <f>O22*G22</f>
        <v>4.1999999999999993</v>
      </c>
      <c r="R22" s="339"/>
      <c r="S22" s="94"/>
    </row>
    <row r="23" spans="2:19" ht="20.149999999999999" customHeight="1" x14ac:dyDescent="0.45">
      <c r="B23" s="21"/>
      <c r="C23" s="338" t="s">
        <v>1080</v>
      </c>
      <c r="D23" s="430" t="str">
        <f>VLOOKUP(C23,'Sales Master'!B$3:D$644,2,0)</f>
        <v>Fine Sugar 白糖</v>
      </c>
      <c r="E23" s="430"/>
      <c r="F23" s="430"/>
      <c r="G23" s="99">
        <v>1</v>
      </c>
      <c r="H23" s="313" t="str">
        <f>VLOOKUP(C23,'Sales Master'!B$3:F$936,5,0)</f>
        <v>25 KGS</v>
      </c>
      <c r="I23" s="518" t="str">
        <f>VLOOKUP(C23,'Sales Master'!B$3:E$936,4,0)</f>
        <v>MITR PHOL</v>
      </c>
      <c r="J23" s="518"/>
      <c r="K23" s="213">
        <f>VLOOKUP(C23,'Sales Master'!B$3:AR$527,43,0)</f>
        <v>34</v>
      </c>
      <c r="L23" s="98">
        <f t="shared" ref="L23" si="14">K23*G23</f>
        <v>34</v>
      </c>
      <c r="N23" s="247">
        <f>VLOOKUP(C23,'Sales Master'!$B$3:$FA$3051,156,0)</f>
        <v>26.784000000000002</v>
      </c>
      <c r="O23" s="247">
        <f t="shared" ref="O23" si="15">K23-N23</f>
        <v>7.2159999999999975</v>
      </c>
      <c r="P23" s="247">
        <f t="shared" ref="P23" si="16">O23*G23</f>
        <v>7.2159999999999975</v>
      </c>
      <c r="R23" s="339">
        <f>N23*G23*0.07</f>
        <v>1.8748800000000003</v>
      </c>
      <c r="S23" s="94"/>
    </row>
    <row r="24" spans="2:19" ht="20.149999999999999" customHeight="1" x14ac:dyDescent="0.45">
      <c r="B24" s="21"/>
      <c r="C24" s="338" t="s">
        <v>1022</v>
      </c>
      <c r="D24" s="430" t="str">
        <f>VLOOKUP(C24,'Sales Master'!B$3:D$644,2,0)</f>
        <v>Nata 椰果芊 15mm</v>
      </c>
      <c r="E24" s="430"/>
      <c r="F24" s="430"/>
      <c r="G24" s="99">
        <v>1</v>
      </c>
      <c r="H24" s="313" t="str">
        <f>VLOOKUP(C24,'Sales Master'!B$3:F$936,5,0)</f>
        <v>1 Can X A10</v>
      </c>
      <c r="I24" s="518" t="str">
        <f>VLOOKUP(C24,'Sales Master'!B$3:E$936,4,0)</f>
        <v>Chefs</v>
      </c>
      <c r="J24" s="518"/>
      <c r="K24" s="213">
        <f>VLOOKUP(C24,'Sales Master'!B$3:AR$527,43,0)</f>
        <v>9.8000000000000007</v>
      </c>
      <c r="L24" s="98">
        <f>K24*G24</f>
        <v>9.8000000000000007</v>
      </c>
      <c r="N24" s="247">
        <f>VLOOKUP(C24,'Sales Master'!$B$3:$FA$3051,156,0)</f>
        <v>6.916666666666667</v>
      </c>
      <c r="O24" s="247">
        <f>K24-N24</f>
        <v>2.8833333333333337</v>
      </c>
      <c r="P24" s="247">
        <f>O24*G24</f>
        <v>2.8833333333333337</v>
      </c>
      <c r="R24" s="339">
        <f>N24*G24*0.07</f>
        <v>0.48416666666666675</v>
      </c>
      <c r="S24" s="94"/>
    </row>
    <row r="25" spans="2:19" ht="20.149999999999999" customHeight="1" x14ac:dyDescent="0.45">
      <c r="B25" s="21"/>
      <c r="C25" s="338" t="s">
        <v>1087</v>
      </c>
      <c r="D25" s="430" t="str">
        <f>VLOOKUP(C25,'Sales Master'!B$3:D$644,2,0)</f>
        <v>Coconut Sugar 椰糖</v>
      </c>
      <c r="E25" s="430"/>
      <c r="F25" s="430"/>
      <c r="G25" s="99">
        <v>1</v>
      </c>
      <c r="H25" s="313" t="str">
        <f>VLOOKUP(C25,'Sales Master'!B$3:F$936,5,0)</f>
        <v>10kgs/ctn</v>
      </c>
      <c r="I25" s="518" t="str">
        <f>VLOOKUP(C25,'Sales Master'!B$3:E$936,4,0)</f>
        <v>Indonesia</v>
      </c>
      <c r="J25" s="518"/>
      <c r="K25" s="213">
        <f>VLOOKUP(C25,'Sales Master'!B$3:AR$527,43,0)</f>
        <v>33</v>
      </c>
      <c r="L25" s="98">
        <f>K25*G25</f>
        <v>33</v>
      </c>
      <c r="N25" s="247">
        <f>VLOOKUP(C25,'Sales Master'!$B$3:$FA$3051,156,0)</f>
        <v>29</v>
      </c>
      <c r="O25" s="247">
        <f>K25-N25</f>
        <v>4</v>
      </c>
      <c r="P25" s="247">
        <f>O25*G25</f>
        <v>4</v>
      </c>
      <c r="R25" s="339">
        <f>N25*G25*0.07</f>
        <v>2.0300000000000002</v>
      </c>
      <c r="S25" s="94"/>
    </row>
    <row r="26" spans="2:19" ht="20.149999999999999" customHeight="1" x14ac:dyDescent="0.45">
      <c r="B26" s="21"/>
      <c r="C26" s="338" t="s">
        <v>1099</v>
      </c>
      <c r="D26" s="430" t="str">
        <f>VLOOKUP(C26,'Sales Master'!B$3:D$644,2,0)</f>
        <v>Lime 酸甘</v>
      </c>
      <c r="E26" s="430"/>
      <c r="F26" s="430"/>
      <c r="G26" s="99">
        <v>1</v>
      </c>
      <c r="H26" s="313" t="str">
        <f>VLOOKUP(C26,'Sales Master'!B$3:F$936,5,0)</f>
        <v>1 kg</v>
      </c>
      <c r="I26" s="518" t="str">
        <f>VLOOKUP(C26,'Sales Master'!B$3:E$936,4,0)</f>
        <v>-</v>
      </c>
      <c r="J26" s="518"/>
      <c r="K26" s="213">
        <f>VLOOKUP(C26,'Sales Master'!B$3:AR$527,43,0)</f>
        <v>2.8</v>
      </c>
      <c r="L26" s="98">
        <f t="shared" ref="L26" si="17">K26*G26</f>
        <v>2.8</v>
      </c>
      <c r="N26" s="247">
        <f>VLOOKUP(C26,'Sales Master'!$B$3:$FA$3051,156,0)</f>
        <v>2.2999999999999998</v>
      </c>
      <c r="O26" s="247">
        <f t="shared" ref="O26" si="18">K26-N26</f>
        <v>0.5</v>
      </c>
      <c r="P26" s="247">
        <f t="shared" ref="P26" si="19">O26*G26</f>
        <v>0.5</v>
      </c>
      <c r="R26" s="339"/>
      <c r="S26" s="94"/>
    </row>
    <row r="27" spans="2:19" ht="20.149999999999999" customHeight="1" x14ac:dyDescent="0.45">
      <c r="B27" s="21"/>
      <c r="C27" s="338"/>
      <c r="D27" s="430"/>
      <c r="E27" s="430"/>
      <c r="F27" s="430"/>
      <c r="G27" s="99"/>
      <c r="H27" s="313"/>
      <c r="I27" s="518"/>
      <c r="J27" s="518"/>
      <c r="K27" s="213"/>
      <c r="L27" s="98"/>
      <c r="N27" s="247"/>
      <c r="O27" s="247"/>
      <c r="P27" s="247"/>
      <c r="R27" s="339"/>
      <c r="S27" s="94"/>
    </row>
    <row r="28" spans="2:19" ht="20.149999999999999" customHeight="1" x14ac:dyDescent="0.45">
      <c r="B28" s="21"/>
      <c r="C28" s="338"/>
      <c r="D28" s="69"/>
      <c r="E28" s="69"/>
      <c r="F28" s="69"/>
      <c r="G28" s="99"/>
      <c r="H28" s="313"/>
      <c r="I28" s="411"/>
      <c r="J28" s="411"/>
      <c r="K28" s="213"/>
      <c r="L28" s="98"/>
      <c r="N28" s="247"/>
      <c r="O28" s="247"/>
      <c r="P28" s="247"/>
      <c r="R28" s="339"/>
      <c r="S28" s="94"/>
    </row>
    <row r="29" spans="2:19" ht="20.149999999999999" customHeight="1" x14ac:dyDescent="0.45">
      <c r="B29" s="21"/>
      <c r="C29" s="338"/>
      <c r="D29" s="69"/>
      <c r="E29" s="69"/>
      <c r="F29" s="69"/>
      <c r="G29" s="99"/>
      <c r="H29" s="313"/>
      <c r="I29" s="411"/>
      <c r="J29" s="411"/>
      <c r="K29" s="213"/>
      <c r="L29" s="98"/>
      <c r="N29" s="247"/>
      <c r="O29" s="247"/>
      <c r="P29" s="247"/>
      <c r="R29" s="339"/>
      <c r="S29" s="94"/>
    </row>
    <row r="30" spans="2:19" ht="20.149999999999999" customHeight="1" x14ac:dyDescent="0.45">
      <c r="B30" s="21"/>
      <c r="C30" s="305" t="s">
        <v>1738</v>
      </c>
      <c r="G30" s="99"/>
      <c r="H30" s="313"/>
      <c r="I30" s="518"/>
      <c r="J30" s="518"/>
      <c r="K30" s="213"/>
      <c r="L30" s="98"/>
      <c r="N30" s="247"/>
      <c r="O30" s="247"/>
      <c r="P30" s="247"/>
      <c r="R30" s="339">
        <f t="shared" ref="R30:R31" si="20">N30*G30*0.07</f>
        <v>0</v>
      </c>
      <c r="S30" s="94"/>
    </row>
    <row r="31" spans="2:19" ht="20.149999999999999" customHeight="1" x14ac:dyDescent="0.45">
      <c r="B31" s="21"/>
      <c r="C31" s="338" t="s">
        <v>1080</v>
      </c>
      <c r="D31" s="430" t="str">
        <f>VLOOKUP(C31,'Sales Master'!B$3:D$644,2,0)</f>
        <v>Fine Sugar 白糖</v>
      </c>
      <c r="E31" s="430"/>
      <c r="F31" s="430"/>
      <c r="G31" s="99">
        <v>1</v>
      </c>
      <c r="H31" s="313" t="str">
        <f>VLOOKUP(C31,'Sales Master'!B$3:F$936,5,0)</f>
        <v>25 KGS</v>
      </c>
      <c r="I31" s="518" t="str">
        <f>VLOOKUP(C31,'Sales Master'!B$3:E$936,4,0)</f>
        <v>MITR PHOL</v>
      </c>
      <c r="J31" s="518"/>
      <c r="K31" s="402">
        <v>34</v>
      </c>
      <c r="L31" s="403"/>
      <c r="N31" s="247"/>
      <c r="O31" s="247"/>
      <c r="P31" s="247"/>
      <c r="R31" s="94">
        <f t="shared" si="20"/>
        <v>0</v>
      </c>
      <c r="S31" s="94"/>
    </row>
    <row r="32" spans="2:19" ht="20.149999999999999" customHeight="1" x14ac:dyDescent="0.45">
      <c r="B32" s="21"/>
      <c r="C32" s="45"/>
      <c r="D32" s="440"/>
      <c r="E32" s="440"/>
      <c r="F32" s="440"/>
      <c r="G32" s="233"/>
      <c r="H32" s="65"/>
      <c r="I32" s="431"/>
      <c r="J32" s="431"/>
      <c r="K32" s="22"/>
      <c r="L32" s="98"/>
      <c r="N32" s="94"/>
      <c r="O32" s="94"/>
      <c r="P32" s="94"/>
      <c r="Q32" s="94"/>
      <c r="R32" s="94"/>
      <c r="S32" s="94"/>
    </row>
    <row r="33" spans="2:14" ht="20.149999999999999" customHeight="1" thickBot="1" x14ac:dyDescent="0.5">
      <c r="B33" s="24"/>
      <c r="C33" s="25"/>
      <c r="D33" s="473"/>
      <c r="E33" s="473"/>
      <c r="F33" s="473"/>
      <c r="G33" s="25"/>
      <c r="H33" s="66"/>
      <c r="I33" s="66"/>
      <c r="J33" s="66"/>
      <c r="K33" s="119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474" t="s">
        <v>13</v>
      </c>
      <c r="K35" s="475"/>
      <c r="L35" s="30">
        <f>SUM(L18:L34)</f>
        <v>134.60000000000002</v>
      </c>
      <c r="M35" s="95">
        <f>SUM(P17:P33)-L35*0.02</f>
        <v>35.56733333333333</v>
      </c>
      <c r="N35" s="405">
        <f>M35-L36</f>
        <v>25.596962962962959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0" t="s">
        <v>553</v>
      </c>
      <c r="K36" s="113">
        <v>6.54E-2</v>
      </c>
      <c r="L36" s="32">
        <f>L38</f>
        <v>9.9703703703703717</v>
      </c>
    </row>
    <row r="37" spans="2:14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476" t="s">
        <v>555</v>
      </c>
      <c r="K37" s="477"/>
      <c r="L37" s="114">
        <f>L35/108*100</f>
        <v>124.62962962962965</v>
      </c>
    </row>
    <row r="38" spans="2:14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1" t="s">
        <v>554</v>
      </c>
      <c r="K38" s="112">
        <v>0.08</v>
      </c>
      <c r="L38" s="44">
        <f>L37*K38</f>
        <v>9.9703703703703717</v>
      </c>
    </row>
    <row r="39" spans="2:14" ht="20.149999999999999" customHeight="1" thickBot="1" x14ac:dyDescent="0.5">
      <c r="B39" s="11" t="s">
        <v>748</v>
      </c>
      <c r="C39" s="10"/>
      <c r="D39" s="10"/>
      <c r="E39" s="10"/>
      <c r="F39" s="10"/>
      <c r="G39" s="10"/>
      <c r="H39" s="10"/>
      <c r="I39" s="10"/>
      <c r="J39" s="478" t="s">
        <v>21</v>
      </c>
      <c r="K39" s="479"/>
      <c r="L39" s="33">
        <f>L37+L38</f>
        <v>134.60000000000002</v>
      </c>
    </row>
    <row r="40" spans="2:14" ht="20.149999999999999" customHeight="1" x14ac:dyDescent="0.45">
      <c r="B40" s="11" t="s">
        <v>23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83" t="s">
        <v>749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24</v>
      </c>
      <c r="J46" s="60" t="s">
        <v>25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4" ht="20.5" x14ac:dyDescent="0.45">
      <c r="F48" s="317"/>
    </row>
  </sheetData>
  <mergeCells count="44">
    <mergeCell ref="D27:F27"/>
    <mergeCell ref="I27:J27"/>
    <mergeCell ref="J39:K39"/>
    <mergeCell ref="J35:K35"/>
    <mergeCell ref="J37:K37"/>
    <mergeCell ref="I30:J30"/>
    <mergeCell ref="D33:F33"/>
    <mergeCell ref="D32:F32"/>
    <mergeCell ref="I32:J32"/>
    <mergeCell ref="D31:F31"/>
    <mergeCell ref="I31:J31"/>
    <mergeCell ref="D20:F20"/>
    <mergeCell ref="I20:J20"/>
    <mergeCell ref="D21:F21"/>
    <mergeCell ref="I21:J21"/>
    <mergeCell ref="I26:J26"/>
    <mergeCell ref="D26:F26"/>
    <mergeCell ref="D25:F25"/>
    <mergeCell ref="D23:F23"/>
    <mergeCell ref="I22:J22"/>
    <mergeCell ref="D22:F22"/>
    <mergeCell ref="I23:J23"/>
    <mergeCell ref="D24:F24"/>
    <mergeCell ref="I24:J24"/>
    <mergeCell ref="I25:J25"/>
    <mergeCell ref="I18:J18"/>
    <mergeCell ref="D18:F18"/>
    <mergeCell ref="B15:D15"/>
    <mergeCell ref="D19:F19"/>
    <mergeCell ref="I19:J19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5:L15"/>
    <mergeCell ref="K14:L14"/>
  </mergeCells>
  <conditionalFormatting sqref="C30">
    <cfRule type="duplicateValues" dxfId="108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7A07D-6309-433A-AEB5-79BF5D63B613}">
  <sheetPr codeName="Sheet38">
    <tabColor rgb="FFFFC000"/>
    <pageSetUpPr fitToPage="1"/>
  </sheetPr>
  <dimension ref="B1:CS324"/>
  <sheetViews>
    <sheetView topLeftCell="B7" zoomScaleNormal="100" workbookViewId="0">
      <selection activeCell="B1" sqref="B1:L5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7.1796875" style="60" customWidth="1"/>
    <col min="9" max="9" width="1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466</v>
      </c>
      <c r="J10" s="17" t="s">
        <v>26</v>
      </c>
      <c r="K10" s="455">
        <v>202311054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CMPB                                                              3 Depot Road Singapore 109680</v>
      </c>
      <c r="G11" s="445"/>
      <c r="H11" s="446"/>
      <c r="J11" s="18" t="s">
        <v>9</v>
      </c>
      <c r="K11" s="460">
        <v>45232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N12" s="172" t="s">
        <v>1293</v>
      </c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1508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x14ac:dyDescent="0.45">
      <c r="B18" s="21"/>
      <c r="C18" s="338" t="s">
        <v>820</v>
      </c>
      <c r="D18" s="430" t="str">
        <f>VLOOKUP(C18,'Sales Master'!B$3:D$644,2,0)</f>
        <v>Durian Puree 榴莲浆</v>
      </c>
      <c r="E18" s="430"/>
      <c r="F18" s="430"/>
      <c r="G18" s="99">
        <v>1</v>
      </c>
      <c r="H18" s="206" t="str">
        <f>VLOOKUP(C18,'Sales Master'!B$3:F$936,5,0)</f>
        <v>Box/盒</v>
      </c>
      <c r="I18" s="432" t="str">
        <f>VLOOKUP(C18,'Sales Master'!B$3:E$936,4,0)</f>
        <v>DO!</v>
      </c>
      <c r="J18" s="432"/>
      <c r="K18" s="22">
        <f>VLOOKUP(C18,'Sales Master'!B$3:CS$527,96,0)</f>
        <v>9</v>
      </c>
      <c r="L18" s="71">
        <f t="shared" ref="L18" si="0">K18*G18</f>
        <v>9</v>
      </c>
      <c r="N18" s="247">
        <f>VLOOKUP(C18,'Sales Master'!$B$3:$FA$3051,156,0)</f>
        <v>4.71</v>
      </c>
      <c r="O18" s="247">
        <f t="shared" ref="O18" si="1">K18-N18</f>
        <v>4.29</v>
      </c>
      <c r="P18" s="247">
        <f t="shared" ref="P18" si="2">O18*G18</f>
        <v>4.29</v>
      </c>
    </row>
    <row r="19" spans="2:16" x14ac:dyDescent="0.45">
      <c r="B19" s="21"/>
      <c r="C19" s="338" t="s">
        <v>821</v>
      </c>
      <c r="D19" s="430" t="str">
        <f>VLOOKUP(C19,'Sales Master'!B$3:D$644,2,0)</f>
        <v>Mango Puree 芒果浆</v>
      </c>
      <c r="E19" s="430"/>
      <c r="F19" s="430"/>
      <c r="G19" s="99">
        <v>2</v>
      </c>
      <c r="H19" s="206" t="str">
        <f>VLOOKUP(C19,'Sales Master'!B$3:F$936,5,0)</f>
        <v>Box/盒</v>
      </c>
      <c r="I19" s="432" t="str">
        <f>VLOOKUP(C19,'Sales Master'!B$3:E$936,4,0)</f>
        <v>DO!</v>
      </c>
      <c r="J19" s="432"/>
      <c r="K19" s="22">
        <f>VLOOKUP(C19,'Sales Master'!B$3:CS$527,96,0)</f>
        <v>9</v>
      </c>
      <c r="L19" s="71">
        <f>K19*G19</f>
        <v>18</v>
      </c>
      <c r="N19" s="247">
        <f>VLOOKUP(C19,'Sales Master'!$B$3:$FA$3051,156,0)</f>
        <v>2.15</v>
      </c>
      <c r="O19" s="247">
        <f>K19-N19</f>
        <v>6.85</v>
      </c>
      <c r="P19" s="247">
        <f>O19*G19</f>
        <v>13.7</v>
      </c>
    </row>
    <row r="20" spans="2:16" x14ac:dyDescent="0.45">
      <c r="B20" s="21"/>
      <c r="C20" s="338" t="s">
        <v>822</v>
      </c>
      <c r="D20" s="430" t="str">
        <f>VLOOKUP(C20,'Sales Master'!B$3:D$644,2,0)</f>
        <v>Strawberry Puree 草莓</v>
      </c>
      <c r="E20" s="430"/>
      <c r="F20" s="430"/>
      <c r="G20" s="99">
        <v>2</v>
      </c>
      <c r="H20" s="206" t="str">
        <f>VLOOKUP(C20,'Sales Master'!B$3:F$936,5,0)</f>
        <v>Box/盒</v>
      </c>
      <c r="I20" s="432" t="str">
        <f>VLOOKUP(C20,'Sales Master'!B$3:E$936,4,0)</f>
        <v>DO!</v>
      </c>
      <c r="J20" s="432"/>
      <c r="K20" s="22">
        <f>VLOOKUP(C20,'Sales Master'!B$3:CS$527,96,0)</f>
        <v>10</v>
      </c>
      <c r="L20" s="71">
        <f t="shared" ref="L20" si="3">K20*G20</f>
        <v>20</v>
      </c>
      <c r="N20" s="247">
        <f>VLOOKUP(C20,'Sales Master'!$B$3:$FA$3051,156,0)</f>
        <v>4.68</v>
      </c>
      <c r="O20" s="247">
        <f t="shared" ref="O20" si="4">K20-N20</f>
        <v>5.32</v>
      </c>
      <c r="P20" s="247">
        <f t="shared" ref="P20" si="5">O20*G20</f>
        <v>10.64</v>
      </c>
    </row>
    <row r="21" spans="2:16" ht="20.149999999999999" customHeight="1" x14ac:dyDescent="0.45">
      <c r="B21" s="21"/>
      <c r="C21" s="370" t="s">
        <v>832</v>
      </c>
      <c r="D21" s="430" t="str">
        <f>VLOOKUP(C21,'Sales Master'!B$3:D$644,2,0)</f>
        <v>Chendol 浆咯</v>
      </c>
      <c r="E21" s="430"/>
      <c r="F21" s="430"/>
      <c r="G21" s="99">
        <v>1</v>
      </c>
      <c r="H21" s="206" t="str">
        <f>VLOOKUP(C21,'Sales Master'!B$3:F$936,5,0)</f>
        <v>3 KGS</v>
      </c>
      <c r="I21" s="432" t="str">
        <f>VLOOKUP(C21,'Sales Master'!B$3:E$936,4,0)</f>
        <v>TSM</v>
      </c>
      <c r="J21" s="432"/>
      <c r="K21" s="22">
        <f>VLOOKUP(C21,'Sales Master'!B$3:CS$527,96,0)</f>
        <v>9</v>
      </c>
      <c r="L21" s="71">
        <f t="shared" ref="L21" si="6">K21*G21</f>
        <v>9</v>
      </c>
      <c r="N21" s="247">
        <f>VLOOKUP(C21,'Sales Master'!$B$3:$FA$3051,156,0)</f>
        <v>7</v>
      </c>
      <c r="O21" s="247">
        <f t="shared" ref="O21" si="7">K21-N21</f>
        <v>2</v>
      </c>
      <c r="P21" s="247">
        <f t="shared" ref="P21" si="8">O21*G21</f>
        <v>2</v>
      </c>
    </row>
    <row r="22" spans="2:16" ht="20.149999999999999" customHeight="1" x14ac:dyDescent="0.45">
      <c r="B22" s="21"/>
      <c r="C22" s="338" t="s">
        <v>849</v>
      </c>
      <c r="D22" s="430" t="str">
        <f>VLOOKUP(C22,'Sales Master'!B$3:D$644,2,0)</f>
        <v>Tadpole 蝌蚪</v>
      </c>
      <c r="E22" s="430"/>
      <c r="F22" s="430"/>
      <c r="G22" s="233">
        <v>2</v>
      </c>
      <c r="H22" s="206" t="str">
        <f>VLOOKUP(C22,'Sales Master'!B$3:F$936,5,0)</f>
        <v>1 kg/Bag</v>
      </c>
      <c r="I22" s="432" t="str">
        <f>VLOOKUP(C22,'Sales Master'!B$3:E$936,4,0)</f>
        <v>FJ</v>
      </c>
      <c r="J22" s="432"/>
      <c r="K22" s="22">
        <f>VLOOKUP(C22,'Sales Master'!B$3:CS$527,96,0)</f>
        <v>6.5</v>
      </c>
      <c r="L22" s="71">
        <f>K22*G22</f>
        <v>13</v>
      </c>
      <c r="N22" s="247">
        <f>VLOOKUP(C22,'Sales Master'!$B$3:$FA$3051,156,0)</f>
        <v>5.5</v>
      </c>
      <c r="O22" s="247">
        <f>K22-N22</f>
        <v>1</v>
      </c>
      <c r="P22" s="247">
        <f>O22*G22</f>
        <v>2</v>
      </c>
    </row>
    <row r="23" spans="2:16" x14ac:dyDescent="0.45">
      <c r="B23" s="21"/>
      <c r="C23" s="338" t="s">
        <v>887</v>
      </c>
      <c r="D23" s="430" t="str">
        <f>VLOOKUP(C23,'Sales Master'!B$3:D$644,2,0)</f>
        <v>Sweet Potato Powder 番薯粉</v>
      </c>
      <c r="E23" s="430"/>
      <c r="F23" s="430"/>
      <c r="G23" s="99">
        <v>1</v>
      </c>
      <c r="H23" s="206" t="str">
        <f>VLOOKUP(C23,'Sales Master'!B$3:F$936,5,0)</f>
        <v>3 kgs</v>
      </c>
      <c r="I23" s="432" t="str">
        <f>VLOOKUP(C23,'Sales Master'!B$3:E$936,4,0)</f>
        <v>RE-PACK</v>
      </c>
      <c r="J23" s="432"/>
      <c r="K23" s="22">
        <f>VLOOKUP(C23,'Sales Master'!B$3:CS$527,96,0)</f>
        <v>11</v>
      </c>
      <c r="L23" s="71">
        <f t="shared" ref="L23" si="9">K23*G23</f>
        <v>11</v>
      </c>
      <c r="N23" s="247">
        <f>VLOOKUP(C23,'Sales Master'!$B$3:$FA$3051,156,0)</f>
        <v>7.4399999999999995</v>
      </c>
      <c r="O23" s="247">
        <f t="shared" ref="O23" si="10">K23-N23</f>
        <v>3.5600000000000005</v>
      </c>
      <c r="P23" s="247">
        <f t="shared" ref="P23" si="11">O23*G23</f>
        <v>3.5600000000000005</v>
      </c>
    </row>
    <row r="24" spans="2:16" x14ac:dyDescent="0.45">
      <c r="B24" s="21"/>
      <c r="C24" s="338" t="s">
        <v>968</v>
      </c>
      <c r="D24" s="430" t="str">
        <f>VLOOKUP(C24,'Sales Master'!B$3:D$644,2,0)</f>
        <v>Dried Longan 龙眼干</v>
      </c>
      <c r="E24" s="430"/>
      <c r="F24" s="430"/>
      <c r="G24" s="99">
        <v>1</v>
      </c>
      <c r="H24" s="206" t="str">
        <f>VLOOKUP(C24,'Sales Master'!B$3:F$936,5,0)</f>
        <v>1 kg</v>
      </c>
      <c r="I24" s="432" t="str">
        <f>VLOOKUP(C24,'Sales Master'!B$3:E$936,4,0)</f>
        <v>AAA</v>
      </c>
      <c r="J24" s="432"/>
      <c r="K24" s="22">
        <f>VLOOKUP(C24,'Sales Master'!B$3:CS$527,96,0)</f>
        <v>13</v>
      </c>
      <c r="L24" s="71">
        <f t="shared" ref="L24" si="12">K24*G24</f>
        <v>13</v>
      </c>
      <c r="N24" s="247">
        <f>VLOOKUP(C24,'Sales Master'!$B$3:$FA$3051,156,0)</f>
        <v>8.8000000000000007</v>
      </c>
      <c r="O24" s="247">
        <f t="shared" ref="O24" si="13">K24-N24</f>
        <v>4.1999999999999993</v>
      </c>
      <c r="P24" s="247">
        <f t="shared" ref="P24" si="14">O24*G24</f>
        <v>4.1999999999999993</v>
      </c>
    </row>
    <row r="25" spans="2:16" ht="20.149999999999999" customHeight="1" x14ac:dyDescent="0.45">
      <c r="B25" s="21"/>
      <c r="C25" s="338" t="s">
        <v>1020</v>
      </c>
      <c r="D25" s="430" t="str">
        <f>VLOOKUP(C25,'Sales Master'!B$3:D$644,2,0)</f>
        <v>Sea Coconut 海底椰</v>
      </c>
      <c r="E25" s="430"/>
      <c r="F25" s="430"/>
      <c r="G25" s="233">
        <v>1</v>
      </c>
      <c r="H25" s="206" t="str">
        <f>VLOOKUP(C25,'Sales Master'!B$3:F$936,5,0)</f>
        <v>1 Can X A10</v>
      </c>
      <c r="I25" s="432" t="str">
        <f>VLOOKUP(C25,'Sales Master'!B$3:E$936,4,0)</f>
        <v>Chefs</v>
      </c>
      <c r="J25" s="432"/>
      <c r="K25" s="22">
        <f>VLOOKUP(C25,'Sales Master'!B$3:CS$527,96,0)</f>
        <v>18</v>
      </c>
      <c r="L25" s="71">
        <f>K25*G25</f>
        <v>18</v>
      </c>
      <c r="N25" s="247">
        <f>VLOOKUP(C25,'Sales Master'!$B$3:$FA$3051,156,0)</f>
        <v>14.333333333333334</v>
      </c>
      <c r="O25" s="247">
        <f>K25-N25</f>
        <v>3.6666666666666661</v>
      </c>
      <c r="P25" s="247">
        <f>O25*G25</f>
        <v>3.6666666666666661</v>
      </c>
    </row>
    <row r="26" spans="2:16" x14ac:dyDescent="0.45">
      <c r="B26" s="21"/>
      <c r="C26" s="338" t="s">
        <v>1061</v>
      </c>
      <c r="D26" s="430" t="str">
        <f>VLOOKUP(C26,'Sales Master'!B$3:D$644,2,0)</f>
        <v>Coconut Milk 椰浆</v>
      </c>
      <c r="E26" s="430"/>
      <c r="F26" s="430"/>
      <c r="G26" s="99">
        <v>1</v>
      </c>
      <c r="H26" s="206" t="str">
        <f>VLOOKUP(C26,'Sales Master'!B$3:F$936,5,0)</f>
        <v>(1L x 12bag)/箱</v>
      </c>
      <c r="I26" s="432" t="str">
        <f>VLOOKUP(C26,'Sales Master'!B$3:E$936,4,0)</f>
        <v>Sin-ind</v>
      </c>
      <c r="J26" s="432"/>
      <c r="K26" s="22">
        <f>VLOOKUP(C26,'Sales Master'!B$3:CS$527,96,0)</f>
        <v>41</v>
      </c>
      <c r="L26" s="71">
        <f>K26*G26</f>
        <v>41</v>
      </c>
      <c r="N26" s="247">
        <f>VLOOKUP(C26,'Sales Master'!$B$3:$FA$3051,156,0)</f>
        <v>30.530973451327434</v>
      </c>
      <c r="O26" s="247">
        <f>K26-N26</f>
        <v>10.469026548672566</v>
      </c>
      <c r="P26" s="247">
        <f>O26*G26</f>
        <v>10.469026548672566</v>
      </c>
    </row>
    <row r="27" spans="2:16" x14ac:dyDescent="0.45">
      <c r="B27" s="21"/>
      <c r="C27" s="338" t="s">
        <v>1077</v>
      </c>
      <c r="D27" s="430" t="str">
        <f>VLOOKUP(C27,'Sales Master'!B$3:D$644,2,0)</f>
        <v>Brown Sugar 黑糖</v>
      </c>
      <c r="E27" s="430"/>
      <c r="F27" s="430"/>
      <c r="G27" s="99">
        <v>1</v>
      </c>
      <c r="H27" s="206" t="str">
        <f>VLOOKUP(C27,'Sales Master'!B$3:F$936,5,0)</f>
        <v>6 kgs</v>
      </c>
      <c r="I27" s="432" t="str">
        <f>VLOOKUP(C27,'Sales Master'!B$3:E$936,4,0)</f>
        <v>Star</v>
      </c>
      <c r="J27" s="432"/>
      <c r="K27" s="22">
        <f>VLOOKUP(C27,'Sales Master'!B$3:CS$527,96,0)</f>
        <v>17.5</v>
      </c>
      <c r="L27" s="71">
        <f>K27*G27</f>
        <v>17.5</v>
      </c>
      <c r="N27" s="247">
        <f>VLOOKUP(C27,'Sales Master'!$B$3:$FA$3051,156,0)</f>
        <v>12</v>
      </c>
      <c r="O27" s="247">
        <f>K27-N27</f>
        <v>5.5</v>
      </c>
      <c r="P27" s="247">
        <f>O27*G27</f>
        <v>5.5</v>
      </c>
    </row>
    <row r="28" spans="2:16" ht="20.149999999999999" customHeight="1" x14ac:dyDescent="0.45">
      <c r="B28" s="21"/>
      <c r="C28" s="338" t="s">
        <v>1080</v>
      </c>
      <c r="D28" s="430" t="str">
        <f>VLOOKUP(C28,'Sales Master'!B$3:D$644,2,0)</f>
        <v>Fine Sugar 白糖</v>
      </c>
      <c r="E28" s="430"/>
      <c r="F28" s="430"/>
      <c r="G28" s="99">
        <v>1</v>
      </c>
      <c r="H28" s="206" t="str">
        <f>VLOOKUP(C28,'Sales Master'!B$3:F$936,5,0)</f>
        <v>25 KGS</v>
      </c>
      <c r="I28" s="432" t="str">
        <f>VLOOKUP(C28,'Sales Master'!B$3:E$936,4,0)</f>
        <v>MITR PHOL</v>
      </c>
      <c r="J28" s="432"/>
      <c r="K28" s="22">
        <f>VLOOKUP(C28,'Sales Master'!B$3:CS$527,96,0)</f>
        <v>34</v>
      </c>
      <c r="L28" s="71">
        <f>K28*G28</f>
        <v>34</v>
      </c>
      <c r="N28" s="247">
        <f>VLOOKUP(C28,'Sales Master'!$B$3:$FA$3051,156,0)</f>
        <v>26.784000000000002</v>
      </c>
      <c r="O28" s="247">
        <f>K28-N28</f>
        <v>7.2159999999999975</v>
      </c>
      <c r="P28" s="247">
        <f>O28*G28</f>
        <v>7.2159999999999975</v>
      </c>
    </row>
    <row r="29" spans="2:16" x14ac:dyDescent="0.45">
      <c r="B29" s="21"/>
      <c r="C29" s="338" t="s">
        <v>1705</v>
      </c>
      <c r="D29" s="430" t="str">
        <f>VLOOKUP(C29,'Sales Master'!B$3:D$644,2,0)</f>
        <v>Fine Sugar 白糖</v>
      </c>
      <c r="E29" s="430"/>
      <c r="F29" s="430"/>
      <c r="G29" s="99">
        <v>15</v>
      </c>
      <c r="H29" s="206" t="str">
        <f>VLOOKUP(C29,'Sales Master'!B$3:F$936,5,0)</f>
        <v>2 kgs</v>
      </c>
      <c r="I29" s="432" t="str">
        <f>VLOOKUP(C29,'Sales Master'!B$3:E$936,4,0)</f>
        <v>MITR PHOL</v>
      </c>
      <c r="J29" s="432"/>
      <c r="K29" s="22">
        <f>VLOOKUP(C29,'Sales Master'!B$3:CS$527,96,0)</f>
        <v>4</v>
      </c>
      <c r="L29" s="71">
        <f>K29*G29</f>
        <v>60</v>
      </c>
      <c r="N29" s="247">
        <f>VLOOKUP(C29,'Sales Master'!$B$3:$FA$3051,156,0)</f>
        <v>2.1427200000000002</v>
      </c>
      <c r="O29" s="247">
        <f>K29-N29</f>
        <v>1.8572799999999998</v>
      </c>
      <c r="P29" s="247">
        <f>O29*G29</f>
        <v>27.859199999999998</v>
      </c>
    </row>
    <row r="30" spans="2:16" x14ac:dyDescent="0.45">
      <c r="B30" s="21"/>
      <c r="C30" s="338" t="s">
        <v>1093</v>
      </c>
      <c r="D30" s="430" t="str">
        <f>VLOOKUP(C30,'Sales Master'!B$3:D$644,2,0)</f>
        <v>Sweet Potato 番薯</v>
      </c>
      <c r="E30" s="430"/>
      <c r="F30" s="430"/>
      <c r="G30" s="99">
        <v>5</v>
      </c>
      <c r="H30" s="206" t="str">
        <f>VLOOKUP(C30,'Sales Master'!B$3:F$936,5,0)</f>
        <v>1 KG</v>
      </c>
      <c r="I30" s="432" t="str">
        <f>VLOOKUP(C30,'Sales Master'!B$3:E$936,4,0)</f>
        <v>Malaysia</v>
      </c>
      <c r="J30" s="432"/>
      <c r="K30" s="22">
        <f>VLOOKUP(C30,'Sales Master'!B$3:CS$527,96,0)</f>
        <v>2.5</v>
      </c>
      <c r="L30" s="71">
        <f t="shared" ref="L30" si="15">K30*G30</f>
        <v>12.5</v>
      </c>
      <c r="N30" s="247">
        <f>VLOOKUP(C30,'Sales Master'!$B$3:$FA$3051,156,0)</f>
        <v>1.75</v>
      </c>
      <c r="O30" s="247">
        <f t="shared" ref="O30" si="16">K30-N30</f>
        <v>0.75</v>
      </c>
      <c r="P30" s="247">
        <f t="shared" ref="P30" si="17">O30*G30</f>
        <v>3.75</v>
      </c>
    </row>
    <row r="31" spans="2:16" ht="20.149999999999999" customHeight="1" x14ac:dyDescent="0.45">
      <c r="B31" s="21"/>
      <c r="C31" s="338" t="s">
        <v>1095</v>
      </c>
      <c r="D31" s="430" t="str">
        <f>VLOOKUP(C31,'Sales Master'!B$3:D$644,2,0)</f>
        <v>Yam 芋头</v>
      </c>
      <c r="E31" s="430"/>
      <c r="F31" s="430"/>
      <c r="G31" s="233">
        <v>1</v>
      </c>
      <c r="H31" s="206" t="str">
        <f>VLOOKUP(C31,'Sales Master'!B$3:F$936,5,0)</f>
        <v>1 KG</v>
      </c>
      <c r="I31" s="432" t="str">
        <f>VLOOKUP(C31,'Sales Master'!B$3:E$936,4,0)</f>
        <v>Thailand</v>
      </c>
      <c r="J31" s="432"/>
      <c r="K31" s="22">
        <f>VLOOKUP(C31,'Sales Master'!B$3:CS$527,96,0)</f>
        <v>4.4000000000000004</v>
      </c>
      <c r="L31" s="71">
        <f t="shared" ref="L31" si="18">K31*G31</f>
        <v>4.4000000000000004</v>
      </c>
      <c r="N31" s="247">
        <f>VLOOKUP(C31,'Sales Master'!$B$3:$FA$3051,156,0)</f>
        <v>2.4000000000000004</v>
      </c>
      <c r="O31" s="247">
        <f t="shared" ref="O31" si="19">K31-N31</f>
        <v>2</v>
      </c>
      <c r="P31" s="247">
        <f t="shared" ref="P31" si="20">O31*G31</f>
        <v>2</v>
      </c>
    </row>
    <row r="32" spans="2:16" ht="20.149999999999999" customHeight="1" x14ac:dyDescent="0.45">
      <c r="B32" s="21"/>
      <c r="C32" s="338" t="s">
        <v>1098</v>
      </c>
      <c r="D32" s="430" t="str">
        <f>VLOOKUP(C32,'Sales Master'!B$3:D$644,2,0)</f>
        <v>Pandan Leaf 班兰叶</v>
      </c>
      <c r="E32" s="430"/>
      <c r="F32" s="430"/>
      <c r="G32" s="233">
        <v>1</v>
      </c>
      <c r="H32" s="206" t="str">
        <f>VLOOKUP(C32,'Sales Master'!B$3:F$936,5,0)</f>
        <v>1 kg</v>
      </c>
      <c r="I32" s="432" t="str">
        <f>VLOOKUP(C32,'Sales Master'!B$3:E$936,4,0)</f>
        <v>-</v>
      </c>
      <c r="J32" s="432"/>
      <c r="K32" s="22">
        <f>VLOOKUP(C32,'Sales Master'!B$3:CS$527,96,0)</f>
        <v>1.8</v>
      </c>
      <c r="L32" s="71">
        <f>K32*G32</f>
        <v>1.8</v>
      </c>
      <c r="N32" s="247">
        <f>VLOOKUP(C32,'Sales Master'!$B$3:$FA$3051,156,0)</f>
        <v>1.1000000000000001</v>
      </c>
      <c r="O32" s="247">
        <f>K32-N32</f>
        <v>0.7</v>
      </c>
      <c r="P32" s="247">
        <f>O32*G32</f>
        <v>0.7</v>
      </c>
    </row>
    <row r="33" spans="2:16" ht="20.149999999999999" customHeight="1" x14ac:dyDescent="0.45">
      <c r="B33" s="21"/>
      <c r="C33" s="338"/>
      <c r="D33" s="69"/>
      <c r="E33" s="69"/>
      <c r="F33" s="69"/>
      <c r="G33" s="99"/>
      <c r="H33" s="206"/>
      <c r="I33" s="322"/>
      <c r="J33" s="322"/>
      <c r="K33" s="22"/>
      <c r="L33" s="71"/>
      <c r="N33" s="247"/>
      <c r="O33" s="247"/>
      <c r="P33" s="247"/>
    </row>
    <row r="34" spans="2:16" ht="20.149999999999999" customHeight="1" x14ac:dyDescent="0.45">
      <c r="B34" s="21"/>
      <c r="C34" s="338"/>
      <c r="D34" s="69"/>
      <c r="E34" s="69"/>
      <c r="F34" s="69"/>
      <c r="G34" s="99"/>
      <c r="H34" s="206"/>
      <c r="I34" s="322"/>
      <c r="J34" s="322"/>
      <c r="K34" s="22"/>
      <c r="L34" s="71"/>
      <c r="N34" s="247"/>
      <c r="O34" s="247"/>
      <c r="P34" s="247"/>
    </row>
    <row r="35" spans="2:16" ht="20.149999999999999" customHeight="1" x14ac:dyDescent="0.45">
      <c r="B35" s="21"/>
      <c r="C35" s="305" t="s">
        <v>1740</v>
      </c>
      <c r="E35" s="69"/>
      <c r="F35" s="69"/>
      <c r="G35" s="99"/>
      <c r="H35" s="65"/>
      <c r="I35" s="65"/>
      <c r="J35" s="65"/>
      <c r="K35" s="22"/>
      <c r="L35" s="71"/>
      <c r="N35" s="247"/>
      <c r="O35" s="247"/>
      <c r="P35" s="247"/>
    </row>
    <row r="36" spans="2:16" ht="20.149999999999999" customHeight="1" x14ac:dyDescent="0.45">
      <c r="B36" s="21"/>
      <c r="C36" s="338" t="s">
        <v>820</v>
      </c>
      <c r="D36" s="430" t="str">
        <f>VLOOKUP(C36,'Sales Master'!B$3:D$643,2,0)</f>
        <v>Durian Puree 榴莲浆</v>
      </c>
      <c r="E36" s="430"/>
      <c r="F36" s="430"/>
      <c r="G36" s="99">
        <v>1</v>
      </c>
      <c r="H36" s="206" t="str">
        <f>VLOOKUP(C36,'Sales Master'!B$3:F$936,5,0)</f>
        <v>Box/盒</v>
      </c>
      <c r="I36" s="432" t="str">
        <f>VLOOKUP(C36,'Sales Master'!B$3:E$936,4,0)</f>
        <v>DO!</v>
      </c>
      <c r="J36" s="432"/>
      <c r="K36" s="22">
        <v>9</v>
      </c>
      <c r="L36" s="71"/>
      <c r="N36" s="247"/>
      <c r="O36" s="247"/>
      <c r="P36" s="247"/>
    </row>
    <row r="37" spans="2:16" ht="20.149999999999999" customHeight="1" x14ac:dyDescent="0.45">
      <c r="B37" s="21"/>
      <c r="C37" s="338" t="s">
        <v>821</v>
      </c>
      <c r="D37" s="430" t="str">
        <f>VLOOKUP(C37,'Sales Master'!B$3:D$643,2,0)</f>
        <v>Mango Puree 芒果浆</v>
      </c>
      <c r="E37" s="430"/>
      <c r="F37" s="430"/>
      <c r="G37" s="99">
        <v>1</v>
      </c>
      <c r="H37" s="206" t="str">
        <f>VLOOKUP(C37,'Sales Master'!B$3:F$936,5,0)</f>
        <v>Box/盒</v>
      </c>
      <c r="I37" s="432" t="str">
        <f>VLOOKUP(C37,'Sales Master'!B$3:E$936,4,0)</f>
        <v>DO!</v>
      </c>
      <c r="J37" s="432"/>
      <c r="K37" s="22">
        <v>9</v>
      </c>
      <c r="L37" s="71"/>
    </row>
    <row r="38" spans="2:16" ht="20.149999999999999" customHeight="1" x14ac:dyDescent="0.45">
      <c r="B38" s="21"/>
      <c r="C38" s="338" t="s">
        <v>822</v>
      </c>
      <c r="D38" s="430" t="str">
        <f>VLOOKUP(C38,'Sales Master'!B$3:D$643,2,0)</f>
        <v>Strawberry Puree 草莓</v>
      </c>
      <c r="E38" s="430"/>
      <c r="F38" s="430"/>
      <c r="G38" s="99">
        <v>1</v>
      </c>
      <c r="H38" s="206" t="str">
        <f>VLOOKUP(C38,'Sales Master'!B$3:F$936,5,0)</f>
        <v>Box/盒</v>
      </c>
      <c r="I38" s="432" t="str">
        <f>VLOOKUP(C38,'Sales Master'!B$3:E$936,4,0)</f>
        <v>DO!</v>
      </c>
      <c r="J38" s="432"/>
      <c r="K38" s="22">
        <v>10</v>
      </c>
      <c r="L38" s="71"/>
    </row>
    <row r="39" spans="2:16" ht="20.149999999999999" customHeight="1" x14ac:dyDescent="0.45">
      <c r="B39" s="21"/>
      <c r="C39" s="338" t="s">
        <v>1080</v>
      </c>
      <c r="D39" s="430" t="str">
        <f>VLOOKUP(C39,'Sales Master'!B$3:D$643,2,0)</f>
        <v>Fine Sugar 白糖</v>
      </c>
      <c r="E39" s="430"/>
      <c r="F39" s="430"/>
      <c r="G39" s="99">
        <v>1</v>
      </c>
      <c r="H39" s="206" t="str">
        <f>VLOOKUP(C39,'Sales Master'!B$3:F$936,5,0)</f>
        <v>25 KGS</v>
      </c>
      <c r="I39" s="432" t="str">
        <f>VLOOKUP(C39,'Sales Master'!B$3:E$936,4,0)</f>
        <v>MITR PHOL</v>
      </c>
      <c r="J39" s="432"/>
      <c r="K39" s="22">
        <v>34</v>
      </c>
      <c r="L39" s="71"/>
    </row>
    <row r="40" spans="2:16" ht="20.149999999999999" customHeight="1" x14ac:dyDescent="0.45">
      <c r="B40" s="21"/>
      <c r="C40" s="338" t="s">
        <v>1705</v>
      </c>
      <c r="D40" s="430" t="str">
        <f>VLOOKUP(C40,'Sales Master'!B$3:D$643,2,0)</f>
        <v>Fine Sugar 白糖</v>
      </c>
      <c r="E40" s="430"/>
      <c r="F40" s="430"/>
      <c r="G40" s="99">
        <v>1</v>
      </c>
      <c r="H40" s="206" t="str">
        <f>VLOOKUP(C40,'Sales Master'!B$3:F$936,5,0)</f>
        <v>2 kgs</v>
      </c>
      <c r="I40" s="432" t="str">
        <f>VLOOKUP(C40,'Sales Master'!B$3:E$936,4,0)</f>
        <v>MITR PHOL</v>
      </c>
      <c r="J40" s="432"/>
      <c r="K40" s="22">
        <v>4</v>
      </c>
      <c r="L40" s="71"/>
    </row>
    <row r="41" spans="2:16" ht="20.149999999999999" customHeight="1" x14ac:dyDescent="0.45">
      <c r="B41" s="21"/>
      <c r="C41" s="338"/>
      <c r="D41" s="430"/>
      <c r="E41" s="430"/>
      <c r="F41" s="430"/>
      <c r="G41" s="99"/>
      <c r="H41" s="206"/>
      <c r="I41" s="432"/>
      <c r="J41" s="432"/>
      <c r="K41" s="22"/>
      <c r="L41" s="71"/>
    </row>
    <row r="42" spans="2:16" ht="20.149999999999999" customHeight="1" thickBot="1" x14ac:dyDescent="0.5">
      <c r="B42" s="24"/>
      <c r="C42" s="25"/>
      <c r="D42" s="473"/>
      <c r="E42" s="473"/>
      <c r="F42" s="473"/>
      <c r="G42" s="25"/>
      <c r="H42" s="66"/>
      <c r="I42" s="66"/>
      <c r="J42" s="66"/>
      <c r="K42" s="26"/>
      <c r="L42" s="27"/>
    </row>
    <row r="43" spans="2:16" ht="20.149999999999999" customHeight="1" thickBot="1" x14ac:dyDescent="0.5">
      <c r="B43" s="28"/>
      <c r="L43" s="29"/>
    </row>
    <row r="44" spans="2:16" ht="20.149999999999999" customHeight="1" x14ac:dyDescent="0.45">
      <c r="B44" s="11" t="s">
        <v>16</v>
      </c>
      <c r="C44" s="10"/>
      <c r="D44" s="10"/>
      <c r="E44" s="10"/>
      <c r="F44" s="10"/>
      <c r="G44" s="10"/>
      <c r="H44" s="10"/>
      <c r="I44" s="10"/>
      <c r="J44" s="474" t="s">
        <v>13</v>
      </c>
      <c r="K44" s="475"/>
      <c r="L44" s="30">
        <f>SUM(L18:L42)</f>
        <v>282.2</v>
      </c>
      <c r="M44" s="95">
        <f>SUM(P18:P42)-L44*0.02</f>
        <v>95.906893215339224</v>
      </c>
      <c r="N44" s="248">
        <f>M44/L44</f>
        <v>0.33985433456888459</v>
      </c>
    </row>
    <row r="45" spans="2:16" ht="20.149999999999999" customHeight="1" x14ac:dyDescent="0.45">
      <c r="B45" s="11" t="s">
        <v>17</v>
      </c>
      <c r="C45" s="10"/>
      <c r="D45" s="10"/>
      <c r="E45" s="10"/>
      <c r="F45" s="10"/>
      <c r="G45" s="10"/>
      <c r="H45" s="10"/>
      <c r="I45" s="10"/>
      <c r="J45" s="110" t="s">
        <v>553</v>
      </c>
      <c r="K45" s="113">
        <v>6.54E-2</v>
      </c>
      <c r="L45" s="32">
        <f>L47</f>
        <v>20.903703703703702</v>
      </c>
    </row>
    <row r="46" spans="2:16" ht="20.149999999999999" customHeight="1" x14ac:dyDescent="0.45">
      <c r="B46" s="11" t="s">
        <v>18</v>
      </c>
      <c r="C46" s="10"/>
      <c r="D46" s="10"/>
      <c r="E46" s="10"/>
      <c r="F46" s="10"/>
      <c r="G46" s="10"/>
      <c r="H46" s="10"/>
      <c r="I46" s="10"/>
      <c r="J46" s="476" t="s">
        <v>555</v>
      </c>
      <c r="K46" s="477"/>
      <c r="L46" s="114">
        <f>L44/108*100</f>
        <v>261.29629629629625</v>
      </c>
    </row>
    <row r="47" spans="2:16" ht="20.149999999999999" customHeight="1" x14ac:dyDescent="0.45">
      <c r="B47" s="11" t="s">
        <v>22</v>
      </c>
      <c r="C47" s="10"/>
      <c r="D47" s="10"/>
      <c r="E47" s="10"/>
      <c r="F47" s="10"/>
      <c r="G47" s="10"/>
      <c r="H47" s="10"/>
      <c r="I47" s="10"/>
      <c r="J47" s="111" t="s">
        <v>554</v>
      </c>
      <c r="K47" s="112">
        <v>0.08</v>
      </c>
      <c r="L47" s="44">
        <f>L46*K47</f>
        <v>20.903703703703702</v>
      </c>
      <c r="O47" s="95"/>
    </row>
    <row r="48" spans="2:16" ht="20.149999999999999" customHeight="1" thickBot="1" x14ac:dyDescent="0.5">
      <c r="B48" s="11" t="s">
        <v>748</v>
      </c>
      <c r="C48" s="10"/>
      <c r="D48" s="10"/>
      <c r="E48" s="10"/>
      <c r="F48" s="10"/>
      <c r="G48" s="10"/>
      <c r="H48" s="10"/>
      <c r="I48" s="10"/>
      <c r="J48" s="478" t="s">
        <v>21</v>
      </c>
      <c r="K48" s="479"/>
      <c r="L48" s="33">
        <f>L46+L47</f>
        <v>282.19999999999993</v>
      </c>
      <c r="O48" s="95"/>
    </row>
    <row r="49" spans="2:15" ht="20.149999999999999" customHeight="1" x14ac:dyDescent="0.45">
      <c r="B49" s="11" t="s">
        <v>23</v>
      </c>
      <c r="C49" s="10"/>
      <c r="D49" s="10"/>
      <c r="E49" s="10"/>
      <c r="F49" s="10"/>
      <c r="H49" s="10"/>
      <c r="I49" s="10"/>
      <c r="L49" s="29"/>
      <c r="O49" s="95"/>
    </row>
    <row r="50" spans="2:15" ht="20.149999999999999" customHeight="1" x14ac:dyDescent="0.45">
      <c r="B50" s="183" t="s">
        <v>749</v>
      </c>
      <c r="L50" s="29"/>
    </row>
    <row r="51" spans="2:15" ht="20.149999999999999" customHeight="1" x14ac:dyDescent="0.45">
      <c r="B51" s="28"/>
      <c r="L51" s="29"/>
    </row>
    <row r="52" spans="2:15" ht="20.149999999999999" customHeight="1" x14ac:dyDescent="0.45">
      <c r="B52" s="28"/>
      <c r="L52" s="29"/>
      <c r="O52" s="95"/>
    </row>
    <row r="53" spans="2:15" ht="20.149999999999999" customHeight="1" x14ac:dyDescent="0.45">
      <c r="B53" s="28"/>
      <c r="L53" s="29"/>
    </row>
    <row r="54" spans="2:15" ht="20.149999999999999" customHeight="1" x14ac:dyDescent="0.45">
      <c r="B54" s="34"/>
      <c r="C54" s="35"/>
      <c r="D54" s="35"/>
      <c r="J54" s="35"/>
      <c r="K54" s="35"/>
      <c r="L54" s="36"/>
    </row>
    <row r="55" spans="2:15" ht="20.149999999999999" customHeight="1" x14ac:dyDescent="0.45">
      <c r="B55" s="28" t="s">
        <v>24</v>
      </c>
      <c r="J55" s="60" t="s">
        <v>25</v>
      </c>
      <c r="L55" s="29"/>
    </row>
    <row r="56" spans="2:15" ht="19" thickBot="1" x14ac:dyDescent="0.5">
      <c r="B56" s="37"/>
      <c r="C56" s="62"/>
      <c r="D56" s="62"/>
      <c r="E56" s="62"/>
      <c r="F56" s="62"/>
      <c r="G56" s="62"/>
      <c r="H56" s="62"/>
      <c r="I56" s="62"/>
      <c r="J56" s="62"/>
      <c r="K56" s="62"/>
      <c r="L56" s="38"/>
    </row>
    <row r="324" spans="97:97" x14ac:dyDescent="0.45">
      <c r="CS324" s="60">
        <v>24</v>
      </c>
    </row>
  </sheetData>
  <mergeCells count="61">
    <mergeCell ref="I32:J32"/>
    <mergeCell ref="D26:F26"/>
    <mergeCell ref="D32:F32"/>
    <mergeCell ref="D25:F25"/>
    <mergeCell ref="D37:F37"/>
    <mergeCell ref="D36:F36"/>
    <mergeCell ref="I36:J36"/>
    <mergeCell ref="I37:J37"/>
    <mergeCell ref="I25:J25"/>
    <mergeCell ref="I30:J30"/>
    <mergeCell ref="D27:F27"/>
    <mergeCell ref="I31:J31"/>
    <mergeCell ref="D30:F30"/>
    <mergeCell ref="D31:F31"/>
    <mergeCell ref="D29:F29"/>
    <mergeCell ref="I29:J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B15:D15"/>
    <mergeCell ref="K14:L14"/>
    <mergeCell ref="K15:L15"/>
    <mergeCell ref="I17:J17"/>
    <mergeCell ref="D19:F19"/>
    <mergeCell ref="D22:F22"/>
    <mergeCell ref="I20:J20"/>
    <mergeCell ref="D17:F17"/>
    <mergeCell ref="I18:J18"/>
    <mergeCell ref="I19:J19"/>
    <mergeCell ref="I21:J21"/>
    <mergeCell ref="D20:F20"/>
    <mergeCell ref="I22:J22"/>
    <mergeCell ref="I28:J28"/>
    <mergeCell ref="D28:F28"/>
    <mergeCell ref="I27:J27"/>
    <mergeCell ref="D18:F18"/>
    <mergeCell ref="I26:J26"/>
    <mergeCell ref="D23:F23"/>
    <mergeCell ref="I23:J23"/>
    <mergeCell ref="D24:F24"/>
    <mergeCell ref="I24:J24"/>
    <mergeCell ref="D21:F21"/>
    <mergeCell ref="D38:F38"/>
    <mergeCell ref="J48:K48"/>
    <mergeCell ref="J44:K44"/>
    <mergeCell ref="J46:K46"/>
    <mergeCell ref="D42:F42"/>
    <mergeCell ref="D39:F39"/>
    <mergeCell ref="I39:J39"/>
    <mergeCell ref="D41:F41"/>
    <mergeCell ref="I41:J41"/>
    <mergeCell ref="D40:F40"/>
    <mergeCell ref="I40:J40"/>
    <mergeCell ref="I38:J38"/>
  </mergeCells>
  <conditionalFormatting sqref="C31:C34 C25 C22">
    <cfRule type="duplicateValues" dxfId="107" priority="304"/>
  </conditionalFormatting>
  <conditionalFormatting sqref="C35">
    <cfRule type="duplicateValues" dxfId="106" priority="1"/>
  </conditionalFormatting>
  <conditionalFormatting sqref="C36:C40">
    <cfRule type="duplicateValues" dxfId="105" priority="2"/>
  </conditionalFormatting>
  <conditionalFormatting sqref="C41">
    <cfRule type="duplicateValues" dxfId="104" priority="285"/>
  </conditionalFormatting>
  <pageMargins left="0.70866141732283472" right="0.31496062992125984" top="0.55118110236220474" bottom="0.23622047244094491" header="0.31496062992125984" footer="0.31496062992125984"/>
  <pageSetup paperSize="9" scale="71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C22E8-C510-4F9B-923A-0A4A3CE58292}">
  <sheetPr codeName="Sheet52">
    <tabColor rgb="FFFFC000"/>
    <pageSetUpPr fitToPage="1"/>
  </sheetPr>
  <dimension ref="B1:W50"/>
  <sheetViews>
    <sheetView topLeftCell="A28" zoomScaleNormal="100" workbookViewId="0">
      <selection activeCell="B1" sqref="B1:L4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6328125" style="60" customWidth="1"/>
    <col min="7" max="7" width="8.54296875" style="60" customWidth="1"/>
    <col min="8" max="8" width="13.90625" style="69" customWidth="1"/>
    <col min="9" max="9" width="2.54296875" style="60" customWidth="1"/>
    <col min="10" max="10" width="15.54296875" style="69" customWidth="1"/>
    <col min="11" max="11" width="10.54296875" style="60" customWidth="1"/>
    <col min="12" max="16384" width="12.54296875" style="60"/>
  </cols>
  <sheetData>
    <row r="1" spans="2:18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8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8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8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8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8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8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8" ht="24.5" customHeight="1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8" ht="21.65" customHeight="1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467</v>
      </c>
      <c r="J10" s="309" t="s">
        <v>26</v>
      </c>
      <c r="K10" s="455">
        <v>202311038</v>
      </c>
      <c r="L10" s="456"/>
      <c r="N10" s="60">
        <v>1.8</v>
      </c>
    </row>
    <row r="11" spans="2:18" ht="20.149999999999999" customHeight="1" x14ac:dyDescent="0.45">
      <c r="B11" s="457" t="s">
        <v>753</v>
      </c>
      <c r="C11" s="458"/>
      <c r="D11" s="459"/>
      <c r="E11" s="61"/>
      <c r="F11" s="444" t="str">
        <f>VLOOKUP(H10,'Delivery Location'!A$4:N$423,2,0)</f>
        <v>Ke Lao Hello Dessert                               Blk 448 Clementi Ave 3，#01-29 Singapore 120448</v>
      </c>
      <c r="G11" s="445"/>
      <c r="H11" s="446"/>
      <c r="J11" s="310" t="s">
        <v>9</v>
      </c>
      <c r="K11" s="460">
        <v>45231</v>
      </c>
      <c r="L11" s="461"/>
    </row>
    <row r="12" spans="2:18" ht="20.149999999999999" customHeight="1" x14ac:dyDescent="0.45">
      <c r="B12" s="462" t="s">
        <v>752</v>
      </c>
      <c r="C12" s="463"/>
      <c r="D12" s="464"/>
      <c r="E12" s="61"/>
      <c r="F12" s="447"/>
      <c r="G12" s="448"/>
      <c r="H12" s="449"/>
      <c r="J12" s="310" t="s">
        <v>81</v>
      </c>
      <c r="K12" s="465" t="s">
        <v>312</v>
      </c>
      <c r="L12" s="466"/>
    </row>
    <row r="13" spans="2:18" ht="20.149999999999999" customHeight="1" x14ac:dyDescent="0.45">
      <c r="B13" s="462" t="s">
        <v>751</v>
      </c>
      <c r="C13" s="463"/>
      <c r="D13" s="464"/>
      <c r="E13" s="61"/>
      <c r="F13" s="447"/>
      <c r="G13" s="448"/>
      <c r="H13" s="449"/>
      <c r="J13" s="310" t="s">
        <v>10</v>
      </c>
      <c r="K13" s="465" t="s">
        <v>83</v>
      </c>
      <c r="L13" s="466"/>
      <c r="N13" s="437" t="s">
        <v>1284</v>
      </c>
      <c r="O13" s="437"/>
      <c r="P13" s="437"/>
      <c r="Q13" s="437"/>
      <c r="R13" s="437"/>
    </row>
    <row r="14" spans="2:18" ht="20.149999999999999" customHeight="1" x14ac:dyDescent="0.45">
      <c r="B14" s="462"/>
      <c r="C14" s="463"/>
      <c r="D14" s="464"/>
      <c r="E14" s="61"/>
      <c r="F14" s="447"/>
      <c r="G14" s="448"/>
      <c r="H14" s="449"/>
      <c r="J14" s="310" t="s">
        <v>27</v>
      </c>
      <c r="K14" s="465" t="s">
        <v>14</v>
      </c>
      <c r="L14" s="466"/>
    </row>
    <row r="15" spans="2:18" ht="18" customHeight="1" thickBot="1" x14ac:dyDescent="0.5">
      <c r="B15" s="467"/>
      <c r="C15" s="468"/>
      <c r="D15" s="469"/>
      <c r="E15" s="14"/>
      <c r="F15" s="450"/>
      <c r="G15" s="451"/>
      <c r="H15" s="452"/>
      <c r="J15" s="311" t="s">
        <v>11</v>
      </c>
      <c r="K15" s="167" t="s">
        <v>620</v>
      </c>
      <c r="L15" s="138"/>
    </row>
    <row r="16" spans="2:18" ht="19" thickBot="1" x14ac:dyDescent="0.5"/>
    <row r="17" spans="2:23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306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3" ht="20.149999999999999" customHeight="1" x14ac:dyDescent="0.45">
      <c r="B18" s="21"/>
      <c r="C18" s="338" t="s">
        <v>820</v>
      </c>
      <c r="D18" s="430" t="str">
        <f>VLOOKUP(C18,'Sales Master'!B$3:D$644,2,0)</f>
        <v>Durian Puree 榴莲浆</v>
      </c>
      <c r="E18" s="430"/>
      <c r="F18" s="430"/>
      <c r="G18" s="99">
        <v>4</v>
      </c>
      <c r="H18" s="241" t="str">
        <f>VLOOKUP(C18,'Sales Master'!B$3:F$936,5,0)</f>
        <v>Box/盒</v>
      </c>
      <c r="I18" s="432" t="str">
        <f>VLOOKUP(C18,'Sales Master'!B$3:E$936,4,0)</f>
        <v>DO!</v>
      </c>
      <c r="J18" s="432"/>
      <c r="K18" s="22">
        <f>VLOOKUP(C18,'Sales Master'!B$3:AY$527,50,0)</f>
        <v>9</v>
      </c>
      <c r="L18" s="71">
        <f t="shared" ref="L18" si="0">K18*G18</f>
        <v>36</v>
      </c>
      <c r="N18" s="247">
        <f>VLOOKUP(C18,'Sales Master'!$B$3:$FA$3051,156,0)</f>
        <v>4.71</v>
      </c>
      <c r="O18" s="247">
        <f t="shared" ref="O18" si="1">K18-N18</f>
        <v>4.29</v>
      </c>
      <c r="P18" s="247">
        <f t="shared" ref="P18" si="2">O18*G18</f>
        <v>17.16</v>
      </c>
      <c r="S18" s="60" t="s">
        <v>33</v>
      </c>
      <c r="T18" s="60" t="s">
        <v>48</v>
      </c>
      <c r="V18" s="60">
        <v>18</v>
      </c>
      <c r="W18" s="60">
        <v>18</v>
      </c>
    </row>
    <row r="19" spans="2:23" ht="20.149999999999999" customHeight="1" x14ac:dyDescent="0.45">
      <c r="B19" s="21"/>
      <c r="C19" s="338" t="s">
        <v>821</v>
      </c>
      <c r="D19" s="430" t="str">
        <f>VLOOKUP(C19,'Sales Master'!B$3:D$644,2,0)</f>
        <v>Mango Puree 芒果浆</v>
      </c>
      <c r="E19" s="430"/>
      <c r="F19" s="430"/>
      <c r="G19" s="99">
        <v>1</v>
      </c>
      <c r="H19" s="241" t="str">
        <f>VLOOKUP(C19,'Sales Master'!B$3:F$936,5,0)</f>
        <v>Box/盒</v>
      </c>
      <c r="I19" s="432" t="str">
        <f>VLOOKUP(C19,'Sales Master'!B$3:E$936,4,0)</f>
        <v>DO!</v>
      </c>
      <c r="J19" s="432"/>
      <c r="K19" s="22">
        <f>VLOOKUP(C19,'Sales Master'!B$3:AY$527,50,0)</f>
        <v>9</v>
      </c>
      <c r="L19" s="71">
        <f>K19*G19</f>
        <v>9</v>
      </c>
      <c r="N19" s="247">
        <f>VLOOKUP(C19,'Sales Master'!$B$3:$FA$3051,156,0)</f>
        <v>2.15</v>
      </c>
      <c r="O19" s="247">
        <f>K19-N19</f>
        <v>6.85</v>
      </c>
      <c r="P19" s="247">
        <f>O19*G19</f>
        <v>6.85</v>
      </c>
    </row>
    <row r="20" spans="2:23" ht="20.149999999999999" customHeight="1" x14ac:dyDescent="0.45">
      <c r="B20" s="21"/>
      <c r="C20" s="338" t="s">
        <v>830</v>
      </c>
      <c r="D20" s="430" t="str">
        <f>VLOOKUP(C20,'Sales Master'!B$3:D$644,2,0)</f>
        <v>Bobo ChaCha Cubes 摩摩喳喳</v>
      </c>
      <c r="E20" s="430"/>
      <c r="F20" s="430"/>
      <c r="G20" s="99">
        <v>1</v>
      </c>
      <c r="H20" s="241" t="str">
        <f>VLOOKUP(C20,'Sales Master'!B$3:F$936,5,0)</f>
        <v>800 GM/ Bag包</v>
      </c>
      <c r="I20" s="432" t="str">
        <f>VLOOKUP(C20,'Sales Master'!B$3:E$936,4,0)</f>
        <v>DO!</v>
      </c>
      <c r="J20" s="432"/>
      <c r="K20" s="22">
        <f>VLOOKUP(C20,'Sales Master'!B$3:AY$527,50,0)</f>
        <v>8.5</v>
      </c>
      <c r="L20" s="71">
        <f>K20*G20</f>
        <v>8.5</v>
      </c>
      <c r="N20" s="247">
        <f>VLOOKUP(C20,'Sales Master'!$B$3:$FA$3051,156,0)</f>
        <v>0.89</v>
      </c>
      <c r="O20" s="247">
        <f>K20-N20</f>
        <v>7.61</v>
      </c>
      <c r="P20" s="247">
        <f>O20*G20</f>
        <v>7.61</v>
      </c>
    </row>
    <row r="21" spans="2:23" ht="20.149999999999999" customHeight="1" x14ac:dyDescent="0.45">
      <c r="B21" s="21"/>
      <c r="C21" s="338" t="s">
        <v>849</v>
      </c>
      <c r="D21" s="430" t="str">
        <f>VLOOKUP(C21,'Sales Master'!B$3:D$644,2,0)</f>
        <v>Tadpole 蝌蚪</v>
      </c>
      <c r="E21" s="430"/>
      <c r="F21" s="430"/>
      <c r="G21" s="99">
        <v>1</v>
      </c>
      <c r="H21" s="241" t="str">
        <f>VLOOKUP(C21,'Sales Master'!B$3:F$936,5,0)</f>
        <v>1 kg/Bag</v>
      </c>
      <c r="I21" s="432" t="str">
        <f>VLOOKUP(C21,'Sales Master'!B$3:E$936,4,0)</f>
        <v>FJ</v>
      </c>
      <c r="J21" s="432"/>
      <c r="K21" s="22">
        <f>VLOOKUP(C21,'Sales Master'!B$3:AY$527,50,0)</f>
        <v>6.5</v>
      </c>
      <c r="L21" s="71">
        <f>K21*G21</f>
        <v>6.5</v>
      </c>
      <c r="N21" s="247">
        <f>VLOOKUP(C21,'Sales Master'!$B$3:$FA$3051,156,0)</f>
        <v>5.5</v>
      </c>
      <c r="O21" s="247">
        <f>K21-N21</f>
        <v>1</v>
      </c>
      <c r="P21" s="247">
        <f>O21*G21</f>
        <v>1</v>
      </c>
    </row>
    <row r="22" spans="2:23" ht="20.149999999999999" customHeight="1" x14ac:dyDescent="0.45">
      <c r="B22" s="21"/>
      <c r="C22" s="338" t="s">
        <v>887</v>
      </c>
      <c r="D22" s="430" t="str">
        <f>VLOOKUP(C22,'Sales Master'!B$3:D$644,2,0)</f>
        <v>Sweet Potato Powder 番薯粉</v>
      </c>
      <c r="E22" s="430"/>
      <c r="F22" s="430"/>
      <c r="G22" s="99">
        <v>2</v>
      </c>
      <c r="H22" s="241" t="str">
        <f>VLOOKUP(C22,'Sales Master'!B$3:F$936,5,0)</f>
        <v>3 kgs</v>
      </c>
      <c r="I22" s="432" t="str">
        <f>VLOOKUP(C22,'Sales Master'!B$3:E$936,4,0)</f>
        <v>RE-PACK</v>
      </c>
      <c r="J22" s="432"/>
      <c r="K22" s="22">
        <f>VLOOKUP(C22,'Sales Master'!B$3:AY$527,50,0)</f>
        <v>11</v>
      </c>
      <c r="L22" s="71">
        <f t="shared" ref="L22" si="3">K22*G22</f>
        <v>22</v>
      </c>
      <c r="N22" s="247">
        <f>VLOOKUP(C22,'Sales Master'!$B$3:$FA$3051,156,0)</f>
        <v>7.4399999999999995</v>
      </c>
      <c r="O22" s="247">
        <f t="shared" ref="O22" si="4">K22-N22</f>
        <v>3.5600000000000005</v>
      </c>
      <c r="P22" s="247">
        <f t="shared" ref="P22" si="5">O22*G22</f>
        <v>7.120000000000001</v>
      </c>
    </row>
    <row r="23" spans="2:23" ht="20.149999999999999" customHeight="1" x14ac:dyDescent="0.45">
      <c r="B23" s="21"/>
      <c r="C23" s="338" t="s">
        <v>855</v>
      </c>
      <c r="D23" s="430" t="str">
        <f>VLOOKUP(C23,'Sales Master'!B$3:D$644,2,0)</f>
        <v>Atap Seeds in Syrup 亚嗒子</v>
      </c>
      <c r="E23" s="430"/>
      <c r="F23" s="430"/>
      <c r="G23" s="99">
        <v>1</v>
      </c>
      <c r="H23" s="241" t="str">
        <f>VLOOKUP(C23,'Sales Master'!B$3:F$936,5,0)</f>
        <v>20 kgs/桶</v>
      </c>
      <c r="I23" s="432" t="str">
        <f>VLOOKUP(C23,'Sales Master'!B$3:E$936,4,0)</f>
        <v>2P</v>
      </c>
      <c r="J23" s="432"/>
      <c r="K23" s="22">
        <f>VLOOKUP(C23,'Sales Master'!B$3:AY$527,50,0)</f>
        <v>68</v>
      </c>
      <c r="L23" s="71">
        <f>K23*G23</f>
        <v>68</v>
      </c>
      <c r="N23" s="247">
        <f>VLOOKUP(C23,'Sales Master'!$B$3:$FA$3051,156,0)</f>
        <v>59.400000000000006</v>
      </c>
      <c r="O23" s="247">
        <f>K23-N23</f>
        <v>8.5999999999999943</v>
      </c>
      <c r="P23" s="247">
        <f>O23*G23</f>
        <v>8.5999999999999943</v>
      </c>
    </row>
    <row r="24" spans="2:23" ht="20.149999999999999" customHeight="1" x14ac:dyDescent="0.45">
      <c r="B24" s="21"/>
      <c r="C24" s="338" t="s">
        <v>924</v>
      </c>
      <c r="D24" s="430" t="str">
        <f>VLOOKUP(C24,'Sales Master'!B$3:D$644,2,0)</f>
        <v>Red Bean 红豆</v>
      </c>
      <c r="E24" s="430"/>
      <c r="F24" s="430"/>
      <c r="G24" s="99">
        <v>3</v>
      </c>
      <c r="H24" s="241" t="str">
        <f>VLOOKUP(C24,'Sales Master'!B$3:F$936,5,0)</f>
        <v>5 kgs</v>
      </c>
      <c r="I24" s="432" t="str">
        <f>VLOOKUP(C24,'Sales Master'!B$3:E$936,4,0)</f>
        <v>-</v>
      </c>
      <c r="J24" s="432"/>
      <c r="K24" s="22">
        <f>VLOOKUP(C24,'Sales Master'!B$3:AY$527,50,0)</f>
        <v>19</v>
      </c>
      <c r="L24" s="71">
        <f>K24*G24</f>
        <v>57</v>
      </c>
      <c r="N24" s="247">
        <f>VLOOKUP(C24,'Sales Master'!$B$3:$FA$3051,156,0)</f>
        <v>13.5</v>
      </c>
      <c r="O24" s="247">
        <f>K24-N24</f>
        <v>5.5</v>
      </c>
      <c r="P24" s="247">
        <f>O24*G24</f>
        <v>16.5</v>
      </c>
    </row>
    <row r="25" spans="2:23" ht="20.149999999999999" customHeight="1" x14ac:dyDescent="0.45">
      <c r="B25" s="21"/>
      <c r="C25" s="338" t="s">
        <v>937</v>
      </c>
      <c r="D25" s="430" t="str">
        <f>VLOOKUP(C25,'Sales Master'!B$3:D$644,2,0)</f>
        <v>Green Bean 绿豆</v>
      </c>
      <c r="E25" s="430"/>
      <c r="F25" s="430"/>
      <c r="G25" s="99">
        <v>1</v>
      </c>
      <c r="H25" s="241" t="str">
        <f>VLOOKUP(C25,'Sales Master'!B$3:F$936,5,0)</f>
        <v>5 KGS</v>
      </c>
      <c r="I25" s="432" t="str">
        <f>VLOOKUP(C25,'Sales Master'!B$3:E$936,4,0)</f>
        <v>-</v>
      </c>
      <c r="J25" s="432"/>
      <c r="K25" s="22">
        <f>VLOOKUP(C25,'Sales Master'!B$3:AY$527,50,0)</f>
        <v>14</v>
      </c>
      <c r="L25" s="71">
        <f>K25*G25</f>
        <v>14</v>
      </c>
      <c r="N25" s="247">
        <f>VLOOKUP(C25,'Sales Master'!$B$3:$FA$3051,156,0)</f>
        <v>9.7199999999999989</v>
      </c>
      <c r="O25" s="247">
        <f>K25-N25</f>
        <v>4.2800000000000011</v>
      </c>
      <c r="P25" s="247">
        <f>O25*G25</f>
        <v>4.2800000000000011</v>
      </c>
    </row>
    <row r="26" spans="2:23" ht="20.149999999999999" customHeight="1" x14ac:dyDescent="0.45">
      <c r="B26" s="21"/>
      <c r="C26" s="338" t="s">
        <v>943</v>
      </c>
      <c r="D26" s="430" t="str">
        <f>VLOOKUP(C26,'Sales Master'!B$3:D$644,2,0)</f>
        <v>Split Green Mung Bean 豆爽</v>
      </c>
      <c r="E26" s="430"/>
      <c r="F26" s="430"/>
      <c r="G26" s="99">
        <v>1</v>
      </c>
      <c r="H26" s="241" t="str">
        <f>VLOOKUP(C26,'Sales Master'!B$3:F$936,5,0)</f>
        <v>5 KG</v>
      </c>
      <c r="I26" s="432" t="str">
        <f>VLOOKUP(C26,'Sales Master'!B$3:E$936,4,0)</f>
        <v>SW</v>
      </c>
      <c r="J26" s="432"/>
      <c r="K26" s="22">
        <f>VLOOKUP(C26,'Sales Master'!B$3:AY$527,50,0)</f>
        <v>17</v>
      </c>
      <c r="L26" s="71">
        <f t="shared" ref="L26" si="6">K26*G26</f>
        <v>17</v>
      </c>
      <c r="N26" s="247">
        <f>VLOOKUP(C26,'Sales Master'!$B$3:$FA$3051,156,0)</f>
        <v>14.040000000000001</v>
      </c>
      <c r="O26" s="247">
        <f t="shared" ref="O26" si="7">K26-N26</f>
        <v>2.9599999999999991</v>
      </c>
      <c r="P26" s="247">
        <f t="shared" ref="P26" si="8">O26*G26</f>
        <v>2.9599999999999991</v>
      </c>
    </row>
    <row r="27" spans="2:23" ht="20.149999999999999" customHeight="1" x14ac:dyDescent="0.45">
      <c r="B27" s="21"/>
      <c r="C27" s="338"/>
      <c r="D27" s="430"/>
      <c r="E27" s="430"/>
      <c r="F27" s="430"/>
      <c r="G27" s="99"/>
      <c r="H27" s="241"/>
      <c r="I27" s="432"/>
      <c r="J27" s="432"/>
      <c r="K27" s="22"/>
      <c r="L27" s="71"/>
      <c r="N27" s="247"/>
      <c r="O27" s="247"/>
      <c r="P27" s="247"/>
    </row>
    <row r="28" spans="2:23" ht="20.149999999999999" customHeight="1" x14ac:dyDescent="0.45">
      <c r="B28" s="21"/>
      <c r="C28" s="338"/>
      <c r="D28" s="430"/>
      <c r="E28" s="430"/>
      <c r="F28" s="430"/>
      <c r="G28" s="99"/>
      <c r="H28" s="241"/>
      <c r="I28" s="432"/>
      <c r="J28" s="432"/>
      <c r="K28" s="22"/>
      <c r="L28" s="71"/>
      <c r="N28" s="247"/>
      <c r="O28" s="247"/>
      <c r="P28" s="247"/>
    </row>
    <row r="29" spans="2:23" ht="20.149999999999999" customHeight="1" x14ac:dyDescent="0.45">
      <c r="B29" s="21"/>
      <c r="C29" s="338"/>
      <c r="D29" s="430"/>
      <c r="E29" s="430"/>
      <c r="F29" s="430"/>
      <c r="G29" s="99"/>
      <c r="H29" s="241"/>
      <c r="I29" s="432"/>
      <c r="J29" s="432"/>
      <c r="K29" s="22"/>
      <c r="L29" s="71"/>
      <c r="N29" s="247"/>
      <c r="O29" s="247"/>
      <c r="P29" s="247"/>
    </row>
    <row r="30" spans="2:23" ht="20.149999999999999" customHeight="1" x14ac:dyDescent="0.45">
      <c r="B30" s="21"/>
      <c r="C30" s="338"/>
      <c r="D30" s="430"/>
      <c r="E30" s="430"/>
      <c r="F30" s="430"/>
      <c r="G30" s="99"/>
      <c r="H30" s="241"/>
      <c r="I30" s="432"/>
      <c r="J30" s="432"/>
      <c r="K30" s="22"/>
      <c r="L30" s="71"/>
      <c r="N30" s="247"/>
      <c r="O30" s="247"/>
      <c r="P30" s="247"/>
    </row>
    <row r="31" spans="2:23" ht="20.149999999999999" customHeight="1" x14ac:dyDescent="0.45">
      <c r="B31" s="21"/>
      <c r="D31" s="69"/>
      <c r="E31" s="69"/>
      <c r="F31" s="69"/>
      <c r="G31" s="99"/>
      <c r="H31" s="241"/>
      <c r="I31" s="322"/>
      <c r="J31" s="322"/>
      <c r="K31" s="22"/>
      <c r="L31" s="71"/>
      <c r="N31" s="247"/>
      <c r="O31" s="247"/>
      <c r="P31" s="247"/>
    </row>
    <row r="32" spans="2:23" ht="20.149999999999999" customHeight="1" x14ac:dyDescent="0.45">
      <c r="B32" s="21"/>
      <c r="C32" s="305" t="s">
        <v>1756</v>
      </c>
      <c r="G32" s="233"/>
      <c r="H32" s="241"/>
      <c r="I32" s="65"/>
      <c r="J32" s="241"/>
      <c r="K32" s="22"/>
      <c r="L32" s="71"/>
      <c r="N32" s="247"/>
      <c r="O32" s="247"/>
      <c r="P32" s="247"/>
    </row>
    <row r="33" spans="2:14" ht="20.149999999999999" customHeight="1" x14ac:dyDescent="0.45">
      <c r="B33" s="21"/>
      <c r="C33" s="338" t="s">
        <v>897</v>
      </c>
      <c r="D33" s="430" t="str">
        <f>VLOOKUP(C33,'Sales Master'!B$3:D$644,2,0)</f>
        <v>Tapioca Flour 茨粉</v>
      </c>
      <c r="E33" s="430"/>
      <c r="F33" s="430"/>
      <c r="G33" s="99">
        <v>1</v>
      </c>
      <c r="H33" s="241" t="str">
        <f>VLOOKUP(C33,'Sales Master'!B$3:F$936,5,0)</f>
        <v>500gm/pkt</v>
      </c>
      <c r="I33" s="432" t="str">
        <f>VLOOKUP(C33,'Sales Master'!B$3:E$936,4,0)</f>
        <v>F/MAN</v>
      </c>
      <c r="J33" s="432"/>
      <c r="K33" s="22">
        <v>1</v>
      </c>
      <c r="L33" s="236"/>
    </row>
    <row r="34" spans="2:14" ht="20.149999999999999" customHeight="1" x14ac:dyDescent="0.45">
      <c r="B34" s="21"/>
      <c r="C34" s="338"/>
      <c r="D34" s="430"/>
      <c r="E34" s="430"/>
      <c r="F34" s="430"/>
      <c r="G34" s="99"/>
      <c r="H34" s="241"/>
      <c r="I34" s="432"/>
      <c r="J34" s="432"/>
      <c r="K34" s="22"/>
      <c r="L34" s="236"/>
    </row>
    <row r="35" spans="2:14" ht="20.149999999999999" customHeight="1" thickBot="1" x14ac:dyDescent="0.5">
      <c r="B35" s="24"/>
      <c r="C35" s="25"/>
      <c r="D35" s="473"/>
      <c r="E35" s="473"/>
      <c r="F35" s="473"/>
      <c r="G35" s="25"/>
      <c r="H35" s="307"/>
      <c r="I35" s="66"/>
      <c r="J35" s="307"/>
      <c r="K35" s="26"/>
      <c r="L35" s="27"/>
    </row>
    <row r="36" spans="2:14" ht="20.149999999999999" customHeight="1" thickBot="1" x14ac:dyDescent="0.5">
      <c r="B36" s="28"/>
      <c r="L36" s="29"/>
    </row>
    <row r="37" spans="2:14" ht="20.149999999999999" customHeight="1" x14ac:dyDescent="0.45">
      <c r="B37" s="11" t="s">
        <v>16</v>
      </c>
      <c r="C37" s="10"/>
      <c r="D37" s="10"/>
      <c r="E37" s="10"/>
      <c r="F37" s="10"/>
      <c r="G37" s="10"/>
      <c r="H37" s="308"/>
      <c r="I37" s="10"/>
      <c r="J37" s="474" t="s">
        <v>13</v>
      </c>
      <c r="K37" s="475"/>
      <c r="L37" s="30">
        <f>SUM(L17:L36)</f>
        <v>238</v>
      </c>
      <c r="M37" s="95">
        <f>SUM(P18:P35)-L37*0.02</f>
        <v>67.319999999999979</v>
      </c>
      <c r="N37" s="405">
        <f>M37-L38</f>
        <v>49.690370370370346</v>
      </c>
    </row>
    <row r="38" spans="2:14" ht="20.149999999999999" customHeight="1" x14ac:dyDescent="0.45">
      <c r="B38" s="11" t="s">
        <v>17</v>
      </c>
      <c r="C38" s="10"/>
      <c r="D38" s="10"/>
      <c r="E38" s="10"/>
      <c r="F38" s="10"/>
      <c r="G38" s="10"/>
      <c r="H38" s="308"/>
      <c r="I38" s="10"/>
      <c r="J38" s="110" t="s">
        <v>553</v>
      </c>
      <c r="K38" s="113">
        <v>6.54E-2</v>
      </c>
      <c r="L38" s="32">
        <f>L40</f>
        <v>17.62962962962963</v>
      </c>
    </row>
    <row r="39" spans="2:14" ht="20.149999999999999" customHeight="1" x14ac:dyDescent="0.45">
      <c r="B39" s="11" t="s">
        <v>18</v>
      </c>
      <c r="C39" s="10"/>
      <c r="D39" s="10"/>
      <c r="E39" s="10"/>
      <c r="F39" s="10"/>
      <c r="G39" s="10"/>
      <c r="H39" s="308"/>
      <c r="I39" s="10"/>
      <c r="J39" s="476" t="s">
        <v>555</v>
      </c>
      <c r="K39" s="477"/>
      <c r="L39" s="114">
        <f>L37/108*100</f>
        <v>220.37037037037038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308"/>
      <c r="I40" s="10"/>
      <c r="J40" s="110" t="s">
        <v>554</v>
      </c>
      <c r="K40" s="112">
        <v>0.08</v>
      </c>
      <c r="L40" s="44">
        <f>L39*K40</f>
        <v>17.62962962962963</v>
      </c>
    </row>
    <row r="41" spans="2:14" ht="20.149999999999999" customHeight="1" thickBot="1" x14ac:dyDescent="0.5">
      <c r="B41" s="11" t="s">
        <v>748</v>
      </c>
      <c r="C41" s="10"/>
      <c r="D41" s="10"/>
      <c r="E41" s="10"/>
      <c r="F41" s="10"/>
      <c r="G41" s="10"/>
      <c r="H41" s="308"/>
      <c r="I41" s="10"/>
      <c r="J41" s="478" t="s">
        <v>21</v>
      </c>
      <c r="K41" s="479"/>
      <c r="L41" s="33">
        <f>L39+L40</f>
        <v>238</v>
      </c>
    </row>
    <row r="42" spans="2:14" ht="20.149999999999999" customHeight="1" x14ac:dyDescent="0.45">
      <c r="B42" s="11" t="s">
        <v>23</v>
      </c>
      <c r="C42" s="10"/>
      <c r="D42" s="10"/>
      <c r="E42" s="10"/>
      <c r="F42" s="10"/>
      <c r="G42" s="10"/>
      <c r="H42" s="308"/>
      <c r="I42" s="10"/>
      <c r="K42" s="243"/>
      <c r="L42" s="244"/>
    </row>
    <row r="43" spans="2:14" ht="20.149999999999999" customHeight="1" x14ac:dyDescent="0.45">
      <c r="B43" s="183" t="s">
        <v>749</v>
      </c>
      <c r="L43" s="244"/>
    </row>
    <row r="44" spans="2:14" ht="20.149999999999999" customHeight="1" x14ac:dyDescent="0.45">
      <c r="B44" s="28"/>
      <c r="L44" s="244"/>
    </row>
    <row r="45" spans="2:14" ht="20.149999999999999" customHeight="1" x14ac:dyDescent="0.45">
      <c r="B45" s="28"/>
      <c r="L45" s="244"/>
    </row>
    <row r="46" spans="2:14" ht="20.149999999999999" customHeight="1" x14ac:dyDescent="0.45">
      <c r="B46" s="28"/>
      <c r="J46" s="440"/>
      <c r="K46" s="440"/>
      <c r="L46" s="263"/>
    </row>
    <row r="47" spans="2:14" ht="20.149999999999999" customHeight="1" x14ac:dyDescent="0.45">
      <c r="B47" s="34"/>
      <c r="C47" s="35"/>
      <c r="D47" s="35"/>
      <c r="J47" s="186"/>
      <c r="K47" s="35"/>
      <c r="L47" s="36"/>
    </row>
    <row r="48" spans="2:14" ht="20.149999999999999" customHeight="1" x14ac:dyDescent="0.45">
      <c r="B48" s="28" t="s">
        <v>24</v>
      </c>
      <c r="J48" s="69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73"/>
      <c r="I49" s="62"/>
      <c r="J49" s="73"/>
      <c r="K49" s="62"/>
      <c r="L49" s="38"/>
    </row>
    <row r="50" spans="2:12" ht="20.5" x14ac:dyDescent="0.45">
      <c r="F50" s="317"/>
    </row>
  </sheetData>
  <mergeCells count="50">
    <mergeCell ref="D28:F28"/>
    <mergeCell ref="I22:J22"/>
    <mergeCell ref="D22:F22"/>
    <mergeCell ref="I28:J28"/>
    <mergeCell ref="I24:J24"/>
    <mergeCell ref="D27:F27"/>
    <mergeCell ref="I27:J27"/>
    <mergeCell ref="D20:F20"/>
    <mergeCell ref="D19:F19"/>
    <mergeCell ref="D24:F24"/>
    <mergeCell ref="I25:J25"/>
    <mergeCell ref="I26:J26"/>
    <mergeCell ref="D25:F25"/>
    <mergeCell ref="D26:F26"/>
    <mergeCell ref="D21:F21"/>
    <mergeCell ref="I20:J20"/>
    <mergeCell ref="I19:J19"/>
    <mergeCell ref="I21:J21"/>
    <mergeCell ref="D23:F23"/>
    <mergeCell ref="I23:J23"/>
    <mergeCell ref="N13:R13"/>
    <mergeCell ref="D18:F18"/>
    <mergeCell ref="K14:L14"/>
    <mergeCell ref="B15:D15"/>
    <mergeCell ref="I18:J18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29:F29"/>
    <mergeCell ref="I29:J29"/>
    <mergeCell ref="D30:F30"/>
    <mergeCell ref="I30:J30"/>
    <mergeCell ref="J46:K46"/>
    <mergeCell ref="J41:K41"/>
    <mergeCell ref="J39:K39"/>
    <mergeCell ref="J37:K37"/>
    <mergeCell ref="D35:F35"/>
    <mergeCell ref="D34:F34"/>
    <mergeCell ref="I34:J34"/>
    <mergeCell ref="D33:F33"/>
    <mergeCell ref="I33:J33"/>
  </mergeCells>
  <conditionalFormatting sqref="C32">
    <cfRule type="duplicateValues" dxfId="103" priority="1"/>
  </conditionalFormatting>
  <pageMargins left="0.70866141732283472" right="0.55118110236220474" top="0.55118110236220474" bottom="0.74803149606299213" header="0.31496062992125984" footer="0.31496062992125984"/>
  <pageSetup paperSize="9" scale="74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A4FF9-FEB8-443D-BD0E-433BBA1047EF}">
  <sheetPr>
    <tabColor rgb="FFFFC000"/>
    <pageSetUpPr fitToPage="1"/>
  </sheetPr>
  <dimension ref="B1:V45"/>
  <sheetViews>
    <sheetView topLeftCell="A28" zoomScaleNormal="100" workbookViewId="0">
      <selection activeCell="H29" sqref="H2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8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8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8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8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8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8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8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468</v>
      </c>
      <c r="J10" s="17" t="s">
        <v>26</v>
      </c>
      <c r="K10" s="442">
        <v>202311025</v>
      </c>
      <c r="L10" s="443"/>
    </row>
    <row r="11" spans="2:18" ht="20.149999999999999" customHeight="1" x14ac:dyDescent="0.45">
      <c r="B11" s="153"/>
      <c r="C11" s="154"/>
      <c r="D11" s="155"/>
      <c r="E11" s="61"/>
      <c r="F11" s="444" t="str">
        <f>VLOOKUP(H10,'Delivery Location'!A$4:N$423,2,0)</f>
        <v xml:space="preserve">                                                                   Blk 159 Mei Chin Road #02-27   Singapore 140159</v>
      </c>
      <c r="G11" s="445"/>
      <c r="H11" s="446"/>
      <c r="J11" s="18" t="s">
        <v>9</v>
      </c>
      <c r="K11" s="453">
        <v>45231</v>
      </c>
      <c r="L11" s="454"/>
    </row>
    <row r="12" spans="2:18" ht="20.149999999999999" customHeight="1" x14ac:dyDescent="0.45">
      <c r="B12" s="156"/>
      <c r="C12" s="61"/>
      <c r="D12" s="157"/>
      <c r="E12" s="61"/>
      <c r="F12" s="447"/>
      <c r="G12" s="448"/>
      <c r="H12" s="449"/>
      <c r="J12" s="18" t="s">
        <v>81</v>
      </c>
      <c r="K12" s="438" t="s">
        <v>312</v>
      </c>
      <c r="L12" s="439"/>
      <c r="N12" s="437" t="s">
        <v>1220</v>
      </c>
      <c r="O12" s="437"/>
      <c r="P12" s="437"/>
      <c r="Q12" s="437"/>
      <c r="R12" s="437"/>
    </row>
    <row r="13" spans="2:18" ht="20.149999999999999" customHeight="1" x14ac:dyDescent="0.45">
      <c r="B13" s="156"/>
      <c r="C13" s="61"/>
      <c r="D13" s="157"/>
      <c r="E13" s="61"/>
      <c r="F13" s="447"/>
      <c r="G13" s="448"/>
      <c r="H13" s="449"/>
      <c r="J13" s="18" t="s">
        <v>10</v>
      </c>
      <c r="K13" s="438" t="s">
        <v>83</v>
      </c>
      <c r="L13" s="439"/>
      <c r="N13" s="305" t="s">
        <v>1458</v>
      </c>
      <c r="O13" s="260"/>
      <c r="P13" s="260"/>
      <c r="Q13" s="260"/>
    </row>
    <row r="14" spans="2:18" ht="20.149999999999999" customHeight="1" x14ac:dyDescent="0.45">
      <c r="B14" s="156"/>
      <c r="C14" s="61"/>
      <c r="D14" s="157"/>
      <c r="E14" s="61"/>
      <c r="F14" s="447"/>
      <c r="G14" s="448"/>
      <c r="H14" s="449"/>
      <c r="J14" s="18" t="s">
        <v>27</v>
      </c>
      <c r="K14" s="438" t="s">
        <v>14</v>
      </c>
      <c r="L14" s="439"/>
    </row>
    <row r="15" spans="2:18" ht="18" customHeight="1" thickBot="1" x14ac:dyDescent="0.5">
      <c r="B15" s="63"/>
      <c r="C15" s="64"/>
      <c r="D15" s="158"/>
      <c r="E15" s="14"/>
      <c r="F15" s="450"/>
      <c r="G15" s="451"/>
      <c r="H15" s="452"/>
      <c r="J15" s="19" t="s">
        <v>11</v>
      </c>
      <c r="K15" s="167" t="s">
        <v>620</v>
      </c>
      <c r="L15" s="138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334</v>
      </c>
    </row>
    <row r="17" spans="2:22" ht="30" customHeight="1" thickBot="1" x14ac:dyDescent="0.5">
      <c r="B17" s="41" t="s">
        <v>2</v>
      </c>
      <c r="C17" s="42" t="s">
        <v>3</v>
      </c>
      <c r="D17" s="159" t="s">
        <v>4</v>
      </c>
      <c r="E17" s="160"/>
      <c r="F17" s="161"/>
      <c r="G17" s="58" t="s">
        <v>335</v>
      </c>
      <c r="H17" s="122" t="s">
        <v>28</v>
      </c>
      <c r="I17" s="169" t="s">
        <v>57</v>
      </c>
      <c r="J17" s="169"/>
      <c r="K17" s="43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20.149999999999999" customHeight="1" x14ac:dyDescent="0.45">
      <c r="B18" s="21"/>
      <c r="C18" s="338" t="s">
        <v>1088</v>
      </c>
      <c r="D18" s="430" t="str">
        <f>VLOOKUP(C18,'Sales Master'!B$3:D$643,2,0)</f>
        <v>Coconut Sugar 椰糖</v>
      </c>
      <c r="E18" s="430"/>
      <c r="F18" s="430"/>
      <c r="G18" s="45">
        <v>1</v>
      </c>
      <c r="H18" s="241" t="str">
        <f>VLOOKUP(C18,'Sales Master'!B$3:F$936,5,0)</f>
        <v>10 kgs/Ctn</v>
      </c>
      <c r="I18" s="432" t="str">
        <f>VLOOKUP(C18,'Sales Master'!B$3:E$936,4,0)</f>
        <v>Sugari</v>
      </c>
      <c r="J18" s="432"/>
      <c r="K18" s="22">
        <f>VLOOKUP(C18,'Sales Master'!B$3:BT$527,71,0)</f>
        <v>39</v>
      </c>
      <c r="L18" s="71">
        <f>K18*G18</f>
        <v>39</v>
      </c>
      <c r="N18" s="247">
        <f>VLOOKUP(C18,'Sales Master'!$B$3:$FA$3051,156,0)</f>
        <v>30</v>
      </c>
      <c r="O18" s="247">
        <f>K18-N18</f>
        <v>9</v>
      </c>
      <c r="P18" s="247">
        <f>O18*G18</f>
        <v>9</v>
      </c>
      <c r="R18" s="60">
        <f>13.45*1.08</f>
        <v>14.526</v>
      </c>
      <c r="S18" s="60">
        <f>R18*1.2</f>
        <v>17.4312</v>
      </c>
    </row>
    <row r="19" spans="2:22" ht="20.149999999999999" customHeight="1" x14ac:dyDescent="0.45">
      <c r="B19" s="70"/>
      <c r="C19" s="338"/>
      <c r="D19" s="430"/>
      <c r="E19" s="430"/>
      <c r="F19" s="430"/>
      <c r="G19" s="45"/>
      <c r="H19" s="241"/>
      <c r="I19" s="432"/>
      <c r="J19" s="432"/>
      <c r="K19" s="22"/>
      <c r="L19" s="71"/>
      <c r="N19" s="247"/>
      <c r="O19" s="247"/>
      <c r="P19" s="247"/>
    </row>
    <row r="20" spans="2:22" ht="20" customHeight="1" x14ac:dyDescent="0.45">
      <c r="B20" s="28"/>
      <c r="C20" s="338"/>
      <c r="D20" s="430"/>
      <c r="E20" s="430"/>
      <c r="F20" s="430"/>
      <c r="G20" s="45"/>
      <c r="H20" s="241"/>
      <c r="I20" s="432"/>
      <c r="J20" s="432"/>
      <c r="K20" s="22"/>
      <c r="L20" s="71"/>
      <c r="N20" s="247"/>
      <c r="O20" s="247"/>
      <c r="P20" s="247"/>
    </row>
    <row r="21" spans="2:22" ht="20" customHeight="1" x14ac:dyDescent="0.45">
      <c r="B21" s="28"/>
      <c r="C21" s="338"/>
      <c r="D21" s="430"/>
      <c r="E21" s="430"/>
      <c r="F21" s="430"/>
      <c r="G21" s="45"/>
      <c r="H21" s="241"/>
      <c r="I21" s="432"/>
      <c r="J21" s="432"/>
      <c r="K21" s="22"/>
      <c r="L21" s="71"/>
      <c r="N21" s="247"/>
      <c r="O21" s="247"/>
      <c r="P21" s="247"/>
    </row>
    <row r="22" spans="2:22" ht="20.149999999999999" customHeight="1" x14ac:dyDescent="0.45">
      <c r="B22" s="21"/>
      <c r="C22" s="338"/>
      <c r="D22" s="430"/>
      <c r="E22" s="430"/>
      <c r="F22" s="430"/>
      <c r="G22" s="45"/>
      <c r="H22" s="241"/>
      <c r="I22" s="432"/>
      <c r="J22" s="432"/>
      <c r="K22" s="22"/>
      <c r="L22" s="71"/>
      <c r="N22" s="247"/>
      <c r="O22" s="247"/>
      <c r="P22" s="247"/>
    </row>
    <row r="23" spans="2:22" ht="20.149999999999999" customHeight="1" x14ac:dyDescent="0.45">
      <c r="B23" s="21"/>
      <c r="C23" s="338"/>
      <c r="D23" s="430"/>
      <c r="E23" s="430"/>
      <c r="F23" s="430"/>
      <c r="G23" s="45"/>
      <c r="H23" s="241"/>
      <c r="I23" s="432"/>
      <c r="J23" s="432"/>
      <c r="K23" s="22"/>
      <c r="L23" s="71"/>
      <c r="N23" s="247"/>
      <c r="O23" s="247"/>
      <c r="P23" s="247"/>
    </row>
    <row r="24" spans="2:22" ht="20.149999999999999" customHeight="1" x14ac:dyDescent="0.45">
      <c r="B24" s="21"/>
      <c r="C24" s="338"/>
      <c r="D24" s="69"/>
      <c r="E24" s="69"/>
      <c r="F24" s="69"/>
      <c r="G24" s="45"/>
      <c r="H24" s="241"/>
      <c r="I24" s="322"/>
      <c r="J24" s="322"/>
      <c r="K24" s="22"/>
      <c r="L24" s="71"/>
      <c r="N24" s="247"/>
      <c r="O24" s="247"/>
      <c r="P24" s="247"/>
    </row>
    <row r="25" spans="2:22" ht="20.149999999999999" customHeight="1" x14ac:dyDescent="0.45">
      <c r="B25" s="70"/>
      <c r="G25" s="45"/>
      <c r="H25" s="241"/>
      <c r="I25" s="432"/>
      <c r="J25" s="432"/>
      <c r="K25" s="22"/>
      <c r="L25" s="71"/>
      <c r="N25" s="247"/>
      <c r="O25" s="247"/>
      <c r="P25" s="247"/>
      <c r="U25" s="94"/>
      <c r="V25" s="94"/>
    </row>
    <row r="26" spans="2:22" ht="20.149999999999999" customHeight="1" x14ac:dyDescent="0.45">
      <c r="B26" s="21"/>
      <c r="C26" s="140"/>
      <c r="E26" s="69"/>
      <c r="F26" s="69"/>
      <c r="G26" s="99"/>
      <c r="H26" s="65"/>
      <c r="I26" s="65"/>
      <c r="J26" s="65"/>
      <c r="K26" s="96"/>
      <c r="L26" s="71"/>
      <c r="N26" s="247"/>
      <c r="O26" s="247"/>
      <c r="P26" s="247"/>
    </row>
    <row r="27" spans="2:22" ht="20.149999999999999" customHeight="1" x14ac:dyDescent="0.45">
      <c r="B27" s="21"/>
      <c r="C27" s="338"/>
      <c r="D27" s="430"/>
      <c r="E27" s="430"/>
      <c r="F27" s="430"/>
      <c r="G27" s="99"/>
      <c r="H27" s="322"/>
      <c r="I27" s="432"/>
      <c r="J27" s="432"/>
      <c r="K27" s="96"/>
      <c r="L27" s="71"/>
    </row>
    <row r="28" spans="2:22" ht="20.149999999999999" customHeight="1" x14ac:dyDescent="0.45">
      <c r="B28" s="21"/>
      <c r="C28" s="338"/>
      <c r="D28" s="430"/>
      <c r="E28" s="430"/>
      <c r="F28" s="430"/>
      <c r="G28" s="45"/>
      <c r="H28" s="241"/>
      <c r="I28" s="432"/>
      <c r="J28" s="432"/>
      <c r="K28" s="96"/>
      <c r="L28" s="71"/>
    </row>
    <row r="29" spans="2:22" ht="20.149999999999999" customHeight="1" x14ac:dyDescent="0.45">
      <c r="B29" s="21"/>
      <c r="C29" s="45"/>
      <c r="D29" s="69"/>
      <c r="E29" s="69"/>
      <c r="F29" s="69"/>
      <c r="G29" s="45"/>
      <c r="H29" s="65"/>
      <c r="I29" s="65"/>
      <c r="J29" s="65"/>
      <c r="K29" s="22"/>
      <c r="L29" s="71"/>
    </row>
    <row r="30" spans="2:22" ht="20.149999999999999" customHeight="1" thickBot="1" x14ac:dyDescent="0.5">
      <c r="B30" s="24"/>
      <c r="C30" s="25"/>
      <c r="D30" s="62"/>
      <c r="E30" s="62"/>
      <c r="F30" s="62"/>
      <c r="G30" s="25"/>
      <c r="H30" s="66"/>
      <c r="I30" s="66"/>
      <c r="J30" s="66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62" t="s">
        <v>13</v>
      </c>
      <c r="K32" s="163"/>
      <c r="L32" s="30">
        <f>SUM(L15:L31)</f>
        <v>39</v>
      </c>
      <c r="M32" s="95">
        <f>SUM(P18:P30)-L32*0.02</f>
        <v>8.2200000000000006</v>
      </c>
      <c r="N32" s="248">
        <f>M32/L32</f>
        <v>0.21076923076923079</v>
      </c>
    </row>
    <row r="33" spans="2:14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0" t="s">
        <v>553</v>
      </c>
      <c r="K33" s="113">
        <v>6.54E-2</v>
      </c>
      <c r="L33" s="32">
        <f>L35</f>
        <v>2.8888888888888888</v>
      </c>
    </row>
    <row r="34" spans="2:14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164" t="s">
        <v>555</v>
      </c>
      <c r="K34" s="165"/>
      <c r="L34" s="114">
        <f>L32/108*100</f>
        <v>36.111111111111107</v>
      </c>
    </row>
    <row r="35" spans="2:14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1" t="s">
        <v>554</v>
      </c>
      <c r="K35" s="112">
        <v>0.08</v>
      </c>
      <c r="L35" s="44">
        <f>L34*K35</f>
        <v>2.8888888888888888</v>
      </c>
      <c r="N35" s="60">
        <v>38.299999999999997</v>
      </c>
    </row>
    <row r="36" spans="2:14" ht="20.149999999999999" customHeight="1" thickBot="1" x14ac:dyDescent="0.5">
      <c r="B36" s="11" t="s">
        <v>748</v>
      </c>
      <c r="C36" s="10"/>
      <c r="D36" s="10"/>
      <c r="E36" s="10"/>
      <c r="F36" s="10"/>
      <c r="G36" s="10"/>
      <c r="H36" s="10"/>
      <c r="I36" s="10"/>
      <c r="J36" s="37" t="s">
        <v>21</v>
      </c>
      <c r="K36" s="38"/>
      <c r="L36" s="33">
        <f>L34+L35</f>
        <v>38.999999999999993</v>
      </c>
      <c r="N36" s="60">
        <v>-2.5099999999999998</v>
      </c>
    </row>
    <row r="37" spans="2:14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K37" s="243"/>
      <c r="L37" s="29"/>
      <c r="N37" s="60">
        <f>SUM(N35:N36)</f>
        <v>35.79</v>
      </c>
    </row>
    <row r="38" spans="2:14" ht="20.149999999999999" customHeight="1" x14ac:dyDescent="0.45">
      <c r="B38" s="183" t="s">
        <v>749</v>
      </c>
      <c r="L38" s="29"/>
    </row>
    <row r="39" spans="2:14" ht="20.149999999999999" customHeight="1" x14ac:dyDescent="0.45">
      <c r="B39" s="28"/>
      <c r="L39" s="263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24</v>
      </c>
      <c r="J43" s="60" t="s">
        <v>25</v>
      </c>
      <c r="L43" s="29"/>
    </row>
    <row r="44" spans="2:14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5" spans="2:14" ht="20.5" x14ac:dyDescent="0.45">
      <c r="F45" s="317"/>
    </row>
  </sheetData>
  <mergeCells count="25">
    <mergeCell ref="N12:R12"/>
    <mergeCell ref="K13:L13"/>
    <mergeCell ref="K14:L14"/>
    <mergeCell ref="B1:L8"/>
    <mergeCell ref="K10:L10"/>
    <mergeCell ref="F11:H15"/>
    <mergeCell ref="K11:L11"/>
    <mergeCell ref="K12:L12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5:J25"/>
    <mergeCell ref="D27:F27"/>
    <mergeCell ref="I27:J27"/>
    <mergeCell ref="D28:F28"/>
    <mergeCell ref="I28:J28"/>
  </mergeCells>
  <conditionalFormatting sqref="C26">
    <cfRule type="duplicateValues" dxfId="153" priority="1"/>
  </conditionalFormatting>
  <conditionalFormatting sqref="C27">
    <cfRule type="duplicateValues" dxfId="152" priority="2"/>
  </conditionalFormatting>
  <conditionalFormatting sqref="N13">
    <cfRule type="duplicateValues" dxfId="151" priority="3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F2447-DB65-4D86-9C62-EA04DBA3A614}">
  <sheetPr codeName="Sheet74">
    <tabColor rgb="FFFFC000"/>
    <pageSetUpPr fitToPage="1"/>
  </sheetPr>
  <dimension ref="B1:V45"/>
  <sheetViews>
    <sheetView topLeftCell="A7" zoomScaleNormal="100" workbookViewId="0">
      <selection activeCell="H29" sqref="H2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8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8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8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8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8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8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8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469</v>
      </c>
      <c r="J10" s="17" t="s">
        <v>26</v>
      </c>
      <c r="K10" s="442">
        <v>202311036</v>
      </c>
      <c r="L10" s="443"/>
    </row>
    <row r="11" spans="2:18" ht="20.149999999999999" customHeight="1" x14ac:dyDescent="0.45">
      <c r="B11" s="153"/>
      <c r="C11" s="154"/>
      <c r="D11" s="155"/>
      <c r="E11" s="61"/>
      <c r="F11" s="444" t="str">
        <f>VLOOKUP(H10,'Delivery Location'!A$4:N$423,2,0)</f>
        <v>德利                                                          Blk 159 Mei Chin Road #02-28   Singapore 140159</v>
      </c>
      <c r="G11" s="445"/>
      <c r="H11" s="446"/>
      <c r="J11" s="18" t="s">
        <v>9</v>
      </c>
      <c r="K11" s="453">
        <v>45231</v>
      </c>
      <c r="L11" s="454"/>
    </row>
    <row r="12" spans="2:18" ht="20.149999999999999" customHeight="1" x14ac:dyDescent="0.45">
      <c r="B12" s="156"/>
      <c r="C12" s="61"/>
      <c r="D12" s="157"/>
      <c r="E12" s="61"/>
      <c r="F12" s="447"/>
      <c r="G12" s="448"/>
      <c r="H12" s="449"/>
      <c r="J12" s="18" t="s">
        <v>81</v>
      </c>
      <c r="K12" s="438" t="s">
        <v>312</v>
      </c>
      <c r="L12" s="439"/>
      <c r="N12" s="437" t="s">
        <v>1220</v>
      </c>
      <c r="O12" s="437"/>
      <c r="P12" s="437"/>
      <c r="Q12" s="437"/>
      <c r="R12" s="437"/>
    </row>
    <row r="13" spans="2:18" ht="20.149999999999999" customHeight="1" x14ac:dyDescent="0.45">
      <c r="B13" s="156"/>
      <c r="C13" s="61"/>
      <c r="D13" s="157"/>
      <c r="E13" s="61"/>
      <c r="F13" s="447"/>
      <c r="G13" s="448"/>
      <c r="H13" s="449"/>
      <c r="J13" s="18" t="s">
        <v>10</v>
      </c>
      <c r="K13" s="438" t="s">
        <v>1432</v>
      </c>
      <c r="L13" s="439"/>
      <c r="N13" s="305" t="s">
        <v>1458</v>
      </c>
      <c r="O13" s="260"/>
      <c r="P13" s="260"/>
      <c r="Q13" s="260"/>
    </row>
    <row r="14" spans="2:18" ht="20.149999999999999" customHeight="1" x14ac:dyDescent="0.45">
      <c r="B14" s="156"/>
      <c r="C14" s="61"/>
      <c r="D14" s="157"/>
      <c r="E14" s="61"/>
      <c r="F14" s="447"/>
      <c r="G14" s="448"/>
      <c r="H14" s="449"/>
      <c r="J14" s="18" t="s">
        <v>27</v>
      </c>
      <c r="K14" s="438" t="s">
        <v>14</v>
      </c>
      <c r="L14" s="439"/>
    </row>
    <row r="15" spans="2:18" ht="18" customHeight="1" thickBot="1" x14ac:dyDescent="0.5">
      <c r="B15" s="63"/>
      <c r="C15" s="64"/>
      <c r="D15" s="158"/>
      <c r="E15" s="14"/>
      <c r="F15" s="450"/>
      <c r="G15" s="451"/>
      <c r="H15" s="452"/>
      <c r="J15" s="19" t="s">
        <v>11</v>
      </c>
      <c r="K15" s="167" t="s">
        <v>620</v>
      </c>
      <c r="L15" s="138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334</v>
      </c>
    </row>
    <row r="17" spans="2:22" ht="30" customHeight="1" thickBot="1" x14ac:dyDescent="0.5">
      <c r="B17" s="41" t="s">
        <v>2</v>
      </c>
      <c r="C17" s="42" t="s">
        <v>3</v>
      </c>
      <c r="D17" s="159" t="s">
        <v>4</v>
      </c>
      <c r="E17" s="160"/>
      <c r="F17" s="161"/>
      <c r="G17" s="58" t="s">
        <v>335</v>
      </c>
      <c r="H17" s="122" t="s">
        <v>28</v>
      </c>
      <c r="I17" s="169" t="s">
        <v>57</v>
      </c>
      <c r="J17" s="169"/>
      <c r="K17" s="43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20.149999999999999" customHeight="1" x14ac:dyDescent="0.45">
      <c r="B18" s="21"/>
      <c r="C18" s="338" t="s">
        <v>887</v>
      </c>
      <c r="D18" s="430" t="str">
        <f>VLOOKUP(C18,'Sales Master'!B$3:D$643,2,0)</f>
        <v>Sweet Potato Powder 番薯粉</v>
      </c>
      <c r="E18" s="430"/>
      <c r="F18" s="430"/>
      <c r="G18" s="45">
        <v>1</v>
      </c>
      <c r="H18" s="241" t="str">
        <f>VLOOKUP(C18,'Sales Master'!B$3:F$936,5,0)</f>
        <v>3 kgs</v>
      </c>
      <c r="I18" s="432" t="str">
        <f>VLOOKUP(C18,'Sales Master'!B$3:E$936,4,0)</f>
        <v>RE-PACK</v>
      </c>
      <c r="J18" s="432"/>
      <c r="K18" s="22">
        <f>VLOOKUP(C18,'Sales Master'!B$3:BT$527,71,0)</f>
        <v>11</v>
      </c>
      <c r="L18" s="71">
        <f>K18*G18</f>
        <v>11</v>
      </c>
      <c r="N18" s="247">
        <f>VLOOKUP(C18,'Sales Master'!$B$3:$FA$3051,156,0)</f>
        <v>7.4399999999999995</v>
      </c>
      <c r="O18" s="247">
        <f>K18-N18</f>
        <v>3.5600000000000005</v>
      </c>
      <c r="P18" s="247">
        <f>O18*G18</f>
        <v>3.5600000000000005</v>
      </c>
      <c r="R18" s="60">
        <f>13.45*1.08</f>
        <v>14.526</v>
      </c>
      <c r="S18" s="60">
        <f>R18*1.2</f>
        <v>17.4312</v>
      </c>
    </row>
    <row r="19" spans="2:22" ht="20.149999999999999" customHeight="1" x14ac:dyDescent="0.45">
      <c r="B19" s="70"/>
      <c r="C19" s="338" t="s">
        <v>934</v>
      </c>
      <c r="D19" s="430" t="str">
        <f>VLOOKUP(C19,'Sales Master'!B$3:D$643,2,0)</f>
        <v>Chia Tao赤豆</v>
      </c>
      <c r="E19" s="430"/>
      <c r="F19" s="430"/>
      <c r="G19" s="45">
        <v>1</v>
      </c>
      <c r="H19" s="241" t="str">
        <f>VLOOKUP(C19,'Sales Master'!B$3:F$936,5,0)</f>
        <v>5 kgs</v>
      </c>
      <c r="I19" s="432" t="str">
        <f>VLOOKUP(C19,'Sales Master'!B$3:E$936,4,0)</f>
        <v>RE-PACK</v>
      </c>
      <c r="J19" s="432"/>
      <c r="K19" s="22">
        <f>VLOOKUP(C19,'Sales Master'!B$3:BT$527,71,0)</f>
        <v>17</v>
      </c>
      <c r="L19" s="71">
        <f>K19*G19</f>
        <v>17</v>
      </c>
      <c r="N19" s="247">
        <f>VLOOKUP(C19,'Sales Master'!$B$3:$FA$3051,156,0)</f>
        <v>12.42</v>
      </c>
      <c r="O19" s="247">
        <f>K19-N19</f>
        <v>4.58</v>
      </c>
      <c r="P19" s="247">
        <f>O19*G19</f>
        <v>4.58</v>
      </c>
    </row>
    <row r="20" spans="2:22" ht="20" customHeight="1" x14ac:dyDescent="0.45">
      <c r="B20" s="28"/>
      <c r="C20" s="338" t="s">
        <v>943</v>
      </c>
      <c r="D20" s="430" t="str">
        <f>VLOOKUP(C20,'Sales Master'!B$3:D$643,2,0)</f>
        <v>Split Green Mung Bean 豆爽</v>
      </c>
      <c r="E20" s="430"/>
      <c r="F20" s="430"/>
      <c r="G20" s="45">
        <v>2</v>
      </c>
      <c r="H20" s="241" t="str">
        <f>VLOOKUP(C20,'Sales Master'!B$3:F$936,5,0)</f>
        <v>5 KG</v>
      </c>
      <c r="I20" s="432" t="str">
        <f>VLOOKUP(C20,'Sales Master'!B$3:E$936,4,0)</f>
        <v>SW</v>
      </c>
      <c r="J20" s="432"/>
      <c r="K20" s="22">
        <f>VLOOKUP(C20,'Sales Master'!B$3:BT$527,71,0)</f>
        <v>18</v>
      </c>
      <c r="L20" s="71">
        <f t="shared" ref="L20" si="0">K20*G20</f>
        <v>36</v>
      </c>
      <c r="N20" s="247">
        <f>VLOOKUP(C20,'Sales Master'!$B$3:$FA$3051,156,0)</f>
        <v>14.040000000000001</v>
      </c>
      <c r="O20" s="247">
        <f t="shared" ref="O20" si="1">K20-N20</f>
        <v>3.9599999999999991</v>
      </c>
      <c r="P20" s="247">
        <f t="shared" ref="P20" si="2">O20*G20</f>
        <v>7.9199999999999982</v>
      </c>
    </row>
    <row r="21" spans="2:22" ht="20" customHeight="1" x14ac:dyDescent="0.45">
      <c r="B21" s="28"/>
      <c r="C21" s="338" t="s">
        <v>949</v>
      </c>
      <c r="D21" s="430" t="str">
        <f>VLOOKUP(C21,'Sales Master'!B$3:D$643,2,0)</f>
        <v>Black Glutinous Rice 黑糯米</v>
      </c>
      <c r="E21" s="430"/>
      <c r="F21" s="430"/>
      <c r="G21" s="45">
        <v>1</v>
      </c>
      <c r="H21" s="241" t="str">
        <f>VLOOKUP(C21,'Sales Master'!B$3:F$936,5,0)</f>
        <v>5 kgs</v>
      </c>
      <c r="I21" s="432" t="str">
        <f>VLOOKUP(C21,'Sales Master'!B$3:E$936,4,0)</f>
        <v>-</v>
      </c>
      <c r="J21" s="432"/>
      <c r="K21" s="22">
        <f>VLOOKUP(C21,'Sales Master'!B$3:BT$527,71,0)</f>
        <v>18</v>
      </c>
      <c r="L21" s="71">
        <f t="shared" ref="L21" si="3">K21*G21</f>
        <v>18</v>
      </c>
      <c r="N21" s="247">
        <f>VLOOKUP(C21,'Sales Master'!$B$3:$FA$3051,156,0)</f>
        <v>12.960000000000003</v>
      </c>
      <c r="O21" s="247">
        <f t="shared" ref="O21" si="4">K21-N21</f>
        <v>5.0399999999999974</v>
      </c>
      <c r="P21" s="247">
        <f t="shared" ref="P21" si="5">O21*G21</f>
        <v>5.0399999999999974</v>
      </c>
    </row>
    <row r="22" spans="2:22" ht="20.149999999999999" customHeight="1" x14ac:dyDescent="0.45">
      <c r="B22" s="21"/>
      <c r="C22" s="338" t="s">
        <v>1705</v>
      </c>
      <c r="D22" s="430" t="str">
        <f>VLOOKUP(C22,'Sales Master'!B$3:D$643,2,0)</f>
        <v>Fine Sugar 白糖</v>
      </c>
      <c r="E22" s="430"/>
      <c r="F22" s="430"/>
      <c r="G22" s="45">
        <v>4</v>
      </c>
      <c r="H22" s="241" t="str">
        <f>VLOOKUP(C22,'Sales Master'!B$3:F$936,5,0)</f>
        <v>2 kgs</v>
      </c>
      <c r="I22" s="432" t="str">
        <f>VLOOKUP(C22,'Sales Master'!B$3:E$936,4,0)</f>
        <v>MITR PHOL</v>
      </c>
      <c r="J22" s="432"/>
      <c r="K22" s="22">
        <f>VLOOKUP(C22,'Sales Master'!B$3:BT$527,71,0)</f>
        <v>4</v>
      </c>
      <c r="L22" s="71">
        <f t="shared" ref="L22" si="6">K22*G22</f>
        <v>16</v>
      </c>
      <c r="N22" s="247">
        <f>VLOOKUP(C22,'Sales Master'!$B$3:$FA$3051,156,0)</f>
        <v>2.1427200000000002</v>
      </c>
      <c r="O22" s="247">
        <f t="shared" ref="O22" si="7">K22-N22</f>
        <v>1.8572799999999998</v>
      </c>
      <c r="P22" s="247">
        <f t="shared" ref="P22" si="8">O22*G22</f>
        <v>7.4291199999999993</v>
      </c>
    </row>
    <row r="23" spans="2:22" ht="20.149999999999999" customHeight="1" x14ac:dyDescent="0.45">
      <c r="B23" s="21"/>
      <c r="C23" s="338"/>
      <c r="D23" s="430"/>
      <c r="E23" s="430"/>
      <c r="F23" s="430"/>
      <c r="G23" s="45"/>
      <c r="H23" s="241"/>
      <c r="I23" s="432"/>
      <c r="J23" s="432"/>
      <c r="K23" s="22"/>
      <c r="L23" s="71"/>
      <c r="N23" s="247"/>
      <c r="O23" s="247"/>
      <c r="P23" s="247"/>
    </row>
    <row r="24" spans="2:22" ht="20.149999999999999" customHeight="1" x14ac:dyDescent="0.45">
      <c r="B24" s="21"/>
      <c r="C24" s="338"/>
      <c r="D24" s="69"/>
      <c r="E24" s="69"/>
      <c r="F24" s="69"/>
      <c r="G24" s="45"/>
      <c r="H24" s="241"/>
      <c r="I24" s="322"/>
      <c r="J24" s="322"/>
      <c r="K24" s="22"/>
      <c r="L24" s="71"/>
      <c r="N24" s="247"/>
      <c r="O24" s="247"/>
      <c r="P24" s="247"/>
    </row>
    <row r="25" spans="2:22" ht="20.149999999999999" customHeight="1" x14ac:dyDescent="0.45">
      <c r="B25" s="70"/>
      <c r="G25" s="45"/>
      <c r="H25" s="241"/>
      <c r="I25" s="432"/>
      <c r="J25" s="432"/>
      <c r="K25" s="22"/>
      <c r="L25" s="71"/>
      <c r="N25" s="247"/>
      <c r="O25" s="247"/>
      <c r="P25" s="247"/>
      <c r="U25" s="94"/>
      <c r="V25" s="94"/>
    </row>
    <row r="26" spans="2:22" ht="20.149999999999999" customHeight="1" x14ac:dyDescent="0.45">
      <c r="B26" s="21"/>
      <c r="C26" s="305" t="s">
        <v>1740</v>
      </c>
      <c r="E26" s="69"/>
      <c r="F26" s="69"/>
      <c r="G26" s="99"/>
      <c r="H26" s="65"/>
      <c r="I26" s="65"/>
      <c r="J26" s="65"/>
      <c r="K26" s="22"/>
      <c r="L26" s="71"/>
      <c r="N26" s="247"/>
      <c r="O26" s="247"/>
      <c r="P26" s="247"/>
    </row>
    <row r="27" spans="2:22" ht="20.149999999999999" customHeight="1" x14ac:dyDescent="0.45">
      <c r="B27" s="21"/>
      <c r="C27" s="338" t="s">
        <v>1705</v>
      </c>
      <c r="D27" s="430" t="str">
        <f>VLOOKUP(C27,'Sales Master'!B$3:D$643,2,0)</f>
        <v>Fine Sugar 白糖</v>
      </c>
      <c r="E27" s="430"/>
      <c r="F27" s="430"/>
      <c r="G27" s="99">
        <v>1</v>
      </c>
      <c r="H27" s="322" t="str">
        <f>VLOOKUP(C27,'Sales Master'!B$3:F$936,5,0)</f>
        <v>2 kgs</v>
      </c>
      <c r="I27" s="432" t="str">
        <f>VLOOKUP(C27,'Sales Master'!B$3:E$936,4,0)</f>
        <v>MITR PHOL</v>
      </c>
      <c r="J27" s="432"/>
      <c r="K27" s="22">
        <v>4</v>
      </c>
      <c r="L27" s="71"/>
    </row>
    <row r="28" spans="2:22" ht="20.149999999999999" customHeight="1" x14ac:dyDescent="0.45">
      <c r="B28" s="21"/>
      <c r="C28" s="338"/>
      <c r="D28" s="430"/>
      <c r="E28" s="430"/>
      <c r="F28" s="430"/>
      <c r="G28" s="45"/>
      <c r="H28" s="241"/>
      <c r="I28" s="432"/>
      <c r="J28" s="432"/>
      <c r="K28" s="96"/>
      <c r="L28" s="71"/>
    </row>
    <row r="29" spans="2:22" ht="20.149999999999999" customHeight="1" x14ac:dyDescent="0.45">
      <c r="B29" s="21"/>
      <c r="C29" s="45"/>
      <c r="D29" s="69"/>
      <c r="E29" s="69"/>
      <c r="F29" s="69"/>
      <c r="G29" s="45"/>
      <c r="H29" s="65"/>
      <c r="I29" s="65"/>
      <c r="J29" s="65"/>
      <c r="K29" s="22"/>
      <c r="L29" s="71"/>
    </row>
    <row r="30" spans="2:22" ht="20.149999999999999" customHeight="1" thickBot="1" x14ac:dyDescent="0.5">
      <c r="B30" s="24"/>
      <c r="C30" s="25"/>
      <c r="D30" s="62"/>
      <c r="E30" s="62"/>
      <c r="F30" s="62"/>
      <c r="G30" s="25"/>
      <c r="H30" s="66"/>
      <c r="I30" s="66"/>
      <c r="J30" s="66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62" t="s">
        <v>13</v>
      </c>
      <c r="K32" s="163"/>
      <c r="L32" s="30">
        <f>SUM(L15:L31)</f>
        <v>98</v>
      </c>
      <c r="M32" s="95">
        <f>SUM(P18:P30)-L32*0.02</f>
        <v>26.569119999999991</v>
      </c>
      <c r="N32" s="248">
        <f>M32/L32</f>
        <v>0.27111346938775499</v>
      </c>
    </row>
    <row r="33" spans="2:14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0" t="s">
        <v>553</v>
      </c>
      <c r="K33" s="113">
        <v>6.54E-2</v>
      </c>
      <c r="L33" s="32">
        <f>L35</f>
        <v>7.2592592592592595</v>
      </c>
    </row>
    <row r="34" spans="2:14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164" t="s">
        <v>555</v>
      </c>
      <c r="K34" s="165"/>
      <c r="L34" s="114">
        <f>L32/108*100</f>
        <v>90.740740740740748</v>
      </c>
    </row>
    <row r="35" spans="2:14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1" t="s">
        <v>554</v>
      </c>
      <c r="K35" s="112">
        <v>0.08</v>
      </c>
      <c r="L35" s="44">
        <f>L34*K35</f>
        <v>7.2592592592592595</v>
      </c>
      <c r="N35" s="60">
        <v>38.299999999999997</v>
      </c>
    </row>
    <row r="36" spans="2:14" ht="20.149999999999999" customHeight="1" thickBot="1" x14ac:dyDescent="0.5">
      <c r="B36" s="11" t="s">
        <v>748</v>
      </c>
      <c r="C36" s="10"/>
      <c r="D36" s="10"/>
      <c r="E36" s="10"/>
      <c r="F36" s="10"/>
      <c r="G36" s="10"/>
      <c r="H36" s="10"/>
      <c r="I36" s="10"/>
      <c r="J36" s="37" t="s">
        <v>21</v>
      </c>
      <c r="K36" s="38"/>
      <c r="L36" s="33">
        <f>L34+L35</f>
        <v>98</v>
      </c>
      <c r="N36" s="60">
        <v>-2.5099999999999998</v>
      </c>
    </row>
    <row r="37" spans="2:14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K37" s="243"/>
      <c r="L37" s="29"/>
      <c r="N37" s="60">
        <f>SUM(N35:N36)</f>
        <v>35.79</v>
      </c>
    </row>
    <row r="38" spans="2:14" ht="20.149999999999999" customHeight="1" x14ac:dyDescent="0.45">
      <c r="B38" s="183" t="s">
        <v>749</v>
      </c>
      <c r="L38" s="29"/>
    </row>
    <row r="39" spans="2:14" ht="20.149999999999999" customHeight="1" x14ac:dyDescent="0.45">
      <c r="B39" s="28"/>
      <c r="L39" s="263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24</v>
      </c>
      <c r="J43" s="60" t="s">
        <v>25</v>
      </c>
      <c r="L43" s="29"/>
    </row>
    <row r="44" spans="2:14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5" spans="2:14" ht="20.5" x14ac:dyDescent="0.45">
      <c r="F45" s="317"/>
    </row>
  </sheetData>
  <mergeCells count="25">
    <mergeCell ref="D23:F23"/>
    <mergeCell ref="I23:J23"/>
    <mergeCell ref="B1:L8"/>
    <mergeCell ref="K10:L10"/>
    <mergeCell ref="K11:L11"/>
    <mergeCell ref="K12:L12"/>
    <mergeCell ref="K13:L13"/>
    <mergeCell ref="F11:H15"/>
    <mergeCell ref="K14:L14"/>
    <mergeCell ref="D28:F28"/>
    <mergeCell ref="I28:J28"/>
    <mergeCell ref="I27:J27"/>
    <mergeCell ref="N12:R12"/>
    <mergeCell ref="I19:J19"/>
    <mergeCell ref="D18:F18"/>
    <mergeCell ref="D19:F19"/>
    <mergeCell ref="I25:J25"/>
    <mergeCell ref="I18:J18"/>
    <mergeCell ref="D20:F20"/>
    <mergeCell ref="D21:F21"/>
    <mergeCell ref="I20:J20"/>
    <mergeCell ref="I21:J21"/>
    <mergeCell ref="D22:F22"/>
    <mergeCell ref="I22:J22"/>
    <mergeCell ref="D27:F27"/>
  </mergeCells>
  <conditionalFormatting sqref="C26">
    <cfRule type="duplicateValues" dxfId="102" priority="1"/>
  </conditionalFormatting>
  <conditionalFormatting sqref="C27">
    <cfRule type="duplicateValues" dxfId="101" priority="2"/>
  </conditionalFormatting>
  <conditionalFormatting sqref="N13">
    <cfRule type="duplicateValues" dxfId="100" priority="3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826C5-4D61-4081-A9D8-F29FA08A9F43}">
  <sheetPr codeName="Sheet75">
    <tabColor rgb="FFFFC000"/>
    <pageSetUpPr fitToPage="1"/>
  </sheetPr>
  <dimension ref="B1:P43"/>
  <sheetViews>
    <sheetView topLeftCell="B23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470</v>
      </c>
      <c r="J10" s="17" t="s">
        <v>26</v>
      </c>
      <c r="K10" s="455">
        <v>202310589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豆花水                                                     Blk 159 Mei Chin Road #02-30 Singapore 140159</v>
      </c>
      <c r="G11" s="445"/>
      <c r="H11" s="446"/>
      <c r="J11" s="18" t="s">
        <v>9</v>
      </c>
      <c r="K11" s="460">
        <v>45224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  <c r="N13" s="305" t="s">
        <v>1470</v>
      </c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916</v>
      </c>
      <c r="D18" s="430" t="str">
        <f>VLOOKUP(C18,'Sales Master'!B$3:D$643,2,0)</f>
        <v>Atap Seeds in Syrup 亚嗒子</v>
      </c>
      <c r="E18" s="430"/>
      <c r="F18" s="430"/>
      <c r="G18" s="45">
        <v>1</v>
      </c>
      <c r="H18" s="206" t="str">
        <f>VLOOKUP(C18,'Sales Master'!B$3:F$936,5,0)</f>
        <v>NW (1.6:0.6) 2.2 kgs</v>
      </c>
      <c r="I18" s="432" t="str">
        <f>VLOOKUP(C18,'Sales Master'!B$3:E$936,4,0)</f>
        <v>2P</v>
      </c>
      <c r="J18" s="432"/>
      <c r="K18" s="22">
        <f>VLOOKUP(C18,'Sales Master'!B$3:BU$527,72,0)</f>
        <v>12</v>
      </c>
      <c r="L18" s="71">
        <f>K18*G18</f>
        <v>12</v>
      </c>
      <c r="N18" s="247">
        <f>VLOOKUP(C18,'Sales Master'!$B$3:$FA$3051,156,0)</f>
        <v>8.1462857142857139</v>
      </c>
      <c r="O18" s="247">
        <f>K18-N18</f>
        <v>3.8537142857142861</v>
      </c>
      <c r="P18" s="247">
        <f>O18*G18</f>
        <v>3.8537142857142861</v>
      </c>
    </row>
    <row r="19" spans="2:16" ht="20.149999999999999" customHeight="1" x14ac:dyDescent="0.45">
      <c r="B19" s="21"/>
      <c r="C19" s="338" t="s">
        <v>1088</v>
      </c>
      <c r="D19" s="430" t="str">
        <f>VLOOKUP(C19,'Sales Master'!B$3:D$643,2,0)</f>
        <v>Coconut Sugar 椰糖</v>
      </c>
      <c r="E19" s="430"/>
      <c r="F19" s="430"/>
      <c r="G19" s="45">
        <v>1</v>
      </c>
      <c r="H19" s="206" t="str">
        <f>VLOOKUP(C19,'Sales Master'!B$3:F$936,5,0)</f>
        <v>10 kgs/Ctn</v>
      </c>
      <c r="I19" s="432" t="str">
        <f>VLOOKUP(C19,'Sales Master'!B$3:E$936,4,0)</f>
        <v>Sugari</v>
      </c>
      <c r="J19" s="432"/>
      <c r="K19" s="22">
        <f>VLOOKUP(C19,'Sales Master'!B$3:BU$527,72,0)</f>
        <v>39</v>
      </c>
      <c r="L19" s="71">
        <f>K19*G19</f>
        <v>39</v>
      </c>
      <c r="N19" s="247">
        <f>VLOOKUP(C19,'Sales Master'!$B$3:$FA$3051,156,0)</f>
        <v>30</v>
      </c>
      <c r="O19" s="247">
        <f>K19-N19</f>
        <v>9</v>
      </c>
      <c r="P19" s="247">
        <f>O19*G19</f>
        <v>9</v>
      </c>
    </row>
    <row r="20" spans="2:16" ht="20.149999999999999" customHeight="1" x14ac:dyDescent="0.45">
      <c r="B20" s="21"/>
      <c r="C20" s="338"/>
      <c r="D20" s="430"/>
      <c r="E20" s="430"/>
      <c r="F20" s="430"/>
      <c r="G20" s="45"/>
      <c r="H20" s="206"/>
      <c r="I20" s="432"/>
      <c r="J20" s="432"/>
      <c r="K20" s="22"/>
      <c r="L20" s="71"/>
      <c r="N20" s="247"/>
      <c r="O20" s="247"/>
      <c r="P20" s="247"/>
    </row>
    <row r="21" spans="2:16" ht="20.149999999999999" customHeight="1" x14ac:dyDescent="0.45">
      <c r="B21" s="70"/>
      <c r="C21" s="45"/>
      <c r="G21" s="45"/>
      <c r="H21" s="65"/>
      <c r="I21" s="431"/>
      <c r="J21" s="431"/>
      <c r="K21" s="22"/>
      <c r="L21" s="71"/>
      <c r="N21" s="247"/>
      <c r="O21" s="247"/>
      <c r="P21" s="247"/>
    </row>
    <row r="22" spans="2:16" ht="20.149999999999999" customHeight="1" x14ac:dyDescent="0.45">
      <c r="B22" s="70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6" ht="20.149999999999999" customHeight="1" x14ac:dyDescent="0.45">
      <c r="B23" s="21"/>
      <c r="C23" s="45"/>
      <c r="D23" s="430"/>
      <c r="E23" s="430"/>
      <c r="F23" s="430"/>
      <c r="G23" s="45"/>
      <c r="H23" s="206"/>
      <c r="I23" s="432"/>
      <c r="J23" s="432"/>
      <c r="K23" s="22"/>
      <c r="L23" s="71"/>
    </row>
    <row r="24" spans="2:16" ht="20.149999999999999" customHeight="1" x14ac:dyDescent="0.45">
      <c r="B24" s="21"/>
      <c r="C24" s="45"/>
      <c r="D24" s="503"/>
      <c r="E24" s="503"/>
      <c r="F24" s="503"/>
      <c r="G24" s="45"/>
      <c r="H24" s="65"/>
      <c r="I24" s="431"/>
      <c r="J24" s="431"/>
      <c r="K24" s="22"/>
      <c r="L24" s="23"/>
    </row>
    <row r="25" spans="2:16" ht="20.149999999999999" customHeight="1" x14ac:dyDescent="0.45">
      <c r="B25" s="21"/>
      <c r="C25" s="140"/>
      <c r="G25" s="45"/>
      <c r="H25" s="65"/>
      <c r="I25" s="65"/>
      <c r="J25" s="65"/>
      <c r="K25" s="96"/>
      <c r="L25" s="23"/>
    </row>
    <row r="26" spans="2:16" ht="20.149999999999999" customHeight="1" x14ac:dyDescent="0.45">
      <c r="B26" s="21"/>
      <c r="C26" s="338"/>
      <c r="D26" s="430"/>
      <c r="E26" s="430"/>
      <c r="F26" s="430"/>
      <c r="G26" s="45"/>
      <c r="H26" s="206"/>
      <c r="I26" s="432"/>
      <c r="J26" s="432"/>
      <c r="K26" s="96"/>
      <c r="L26" s="23"/>
    </row>
    <row r="27" spans="2:16" ht="20.149999999999999" customHeight="1" x14ac:dyDescent="0.45">
      <c r="B27" s="21"/>
      <c r="C27" s="45"/>
      <c r="D27" s="503"/>
      <c r="E27" s="503"/>
      <c r="F27" s="503"/>
      <c r="G27" s="45"/>
      <c r="H27" s="65"/>
      <c r="I27" s="65"/>
      <c r="J27" s="65"/>
      <c r="K27" s="22"/>
      <c r="L27" s="23"/>
    </row>
    <row r="28" spans="2:16" ht="20.149999999999999" customHeight="1" x14ac:dyDescent="0.45">
      <c r="B28" s="21"/>
      <c r="C28" s="45"/>
      <c r="D28" s="503"/>
      <c r="E28" s="503"/>
      <c r="F28" s="503"/>
      <c r="G28" s="45"/>
      <c r="H28" s="65"/>
      <c r="I28" s="65"/>
      <c r="J28" s="65"/>
      <c r="K28" s="22"/>
      <c r="L28" s="23"/>
    </row>
    <row r="29" spans="2:16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SUM(L15:L30)</f>
        <v>51</v>
      </c>
      <c r="M31" s="95">
        <f>SUM(P18:P28)-L32</f>
        <v>9.0759365079365075</v>
      </c>
      <c r="N31" s="405">
        <f>M31-L32</f>
        <v>5.2981587301587298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L34</f>
        <v>3.7777777777777777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L31/108*100</f>
        <v>47.222222222222221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0.08</v>
      </c>
      <c r="L34" s="44">
        <f>L33*K34</f>
        <v>3.7777777777777777</v>
      </c>
    </row>
    <row r="35" spans="2:12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51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83" t="s">
        <v>749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6">
    <mergeCell ref="K14:L14"/>
    <mergeCell ref="B15:D15"/>
    <mergeCell ref="K15:L15"/>
    <mergeCell ref="K11:L11"/>
    <mergeCell ref="B12:D12"/>
    <mergeCell ref="K12:L12"/>
    <mergeCell ref="B13:D13"/>
    <mergeCell ref="K13:L13"/>
    <mergeCell ref="D22:F22"/>
    <mergeCell ref="I22:J22"/>
    <mergeCell ref="B1:L8"/>
    <mergeCell ref="D20:F20"/>
    <mergeCell ref="I20:J20"/>
    <mergeCell ref="I21:J21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B14:D14"/>
    <mergeCell ref="J35:K35"/>
    <mergeCell ref="D26:F26"/>
    <mergeCell ref="D27:F27"/>
    <mergeCell ref="D28:F28"/>
    <mergeCell ref="D29:F29"/>
    <mergeCell ref="J31:K31"/>
    <mergeCell ref="I26:J26"/>
    <mergeCell ref="D23:F23"/>
    <mergeCell ref="I23:J23"/>
    <mergeCell ref="D24:F24"/>
    <mergeCell ref="I24:J24"/>
    <mergeCell ref="J33:K33"/>
  </mergeCells>
  <conditionalFormatting sqref="C25">
    <cfRule type="duplicateValues" dxfId="99" priority="1"/>
  </conditionalFormatting>
  <conditionalFormatting sqref="N13">
    <cfRule type="duplicateValues" dxfId="98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9C860-98C9-4466-8857-5A8E63923FC2}">
  <sheetPr codeName="Sheet37">
    <tabColor rgb="FFFFC000"/>
    <pageSetUpPr fitToPage="1"/>
  </sheetPr>
  <dimension ref="B1:P40"/>
  <sheetViews>
    <sheetView topLeftCell="B9" zoomScaleNormal="100" workbookViewId="0">
      <selection activeCell="B1" sqref="B1:L4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471</v>
      </c>
      <c r="J10" s="17" t="s">
        <v>26</v>
      </c>
      <c r="K10" s="455">
        <v>202311018</v>
      </c>
      <c r="L10" s="456"/>
    </row>
    <row r="11" spans="2:12" ht="20.149999999999999" customHeight="1" x14ac:dyDescent="0.45">
      <c r="B11" s="444" t="s">
        <v>371</v>
      </c>
      <c r="C11" s="445"/>
      <c r="D11" s="446"/>
      <c r="E11" s="61"/>
      <c r="F11" s="444" t="str">
        <f>VLOOKUP(H10,'Delivery Location'!A$4:N$423,2,0)</f>
        <v>美 雅咖啡室 （水  ）                           Blk 159 Mei Chin Road  #02-37  Singapore 140159</v>
      </c>
      <c r="G11" s="445"/>
      <c r="H11" s="446"/>
      <c r="J11" s="18" t="s">
        <v>9</v>
      </c>
      <c r="K11" s="460">
        <v>45231</v>
      </c>
      <c r="L11" s="461"/>
    </row>
    <row r="12" spans="2:12" ht="20.149999999999999" customHeight="1" x14ac:dyDescent="0.45">
      <c r="B12" s="462" t="s">
        <v>372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 t="s">
        <v>373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958</v>
      </c>
      <c r="D18" s="430" t="str">
        <f>VLOOKUP(C18,'Sales Master'!B$3:D$644,2,0)</f>
        <v>Pearl Barley 薏米</v>
      </c>
      <c r="E18" s="430"/>
      <c r="F18" s="430"/>
      <c r="G18" s="45">
        <v>1</v>
      </c>
      <c r="H18" s="241" t="str">
        <f>VLOOKUP(C18,'Sales Master'!B$3:F$936,5,0)</f>
        <v>5 kgs</v>
      </c>
      <c r="I18" s="432" t="str">
        <f>VLOOKUP(C18,'Sales Master'!B$3:E$936,4,0)</f>
        <v>-</v>
      </c>
      <c r="J18" s="432"/>
      <c r="K18" s="22">
        <f>VLOOKUP(C18,'Sales Master'!B$3:CT$527,97,0)</f>
        <v>11</v>
      </c>
      <c r="L18" s="71">
        <f>K18*G18</f>
        <v>11</v>
      </c>
      <c r="N18" s="247">
        <f>VLOOKUP(C18,'Sales Master'!$B$3:$FA$3051,156,0)</f>
        <v>7.6</v>
      </c>
      <c r="O18" s="247">
        <f>K18-N18</f>
        <v>3.4000000000000004</v>
      </c>
      <c r="P18" s="247">
        <f>O18*G18</f>
        <v>3.4000000000000004</v>
      </c>
    </row>
    <row r="19" spans="2:16" ht="20.149999999999999" customHeight="1" x14ac:dyDescent="0.45">
      <c r="B19" s="21"/>
      <c r="C19" s="338" t="s">
        <v>987</v>
      </c>
      <c r="D19" s="430" t="str">
        <f>VLOOKUP(C19,'Sales Master'!B$3:D$644,2,0)</f>
        <v>Sweeten Melon Strip 冬瓜条</v>
      </c>
      <c r="E19" s="430"/>
      <c r="F19" s="430"/>
      <c r="G19" s="45">
        <v>1</v>
      </c>
      <c r="H19" s="241" t="str">
        <f>VLOOKUP(C19,'Sales Master'!B$3:F$936,5,0)</f>
        <v>3KGS/PKT</v>
      </c>
      <c r="I19" s="432" t="str">
        <f>VLOOKUP(C19,'Sales Master'!B$3:E$936,4,0)</f>
        <v>Rabbit Brand</v>
      </c>
      <c r="J19" s="432"/>
      <c r="K19" s="22">
        <f>VLOOKUP(C19,'Sales Master'!B$3:CT$527,97,0)</f>
        <v>19.5</v>
      </c>
      <c r="L19" s="71">
        <f>K19*G19</f>
        <v>19.5</v>
      </c>
      <c r="N19" s="247">
        <f>VLOOKUP(C19,'Sales Master'!$B$3:$FA$3051,156,0)</f>
        <v>14</v>
      </c>
      <c r="O19" s="247">
        <f>K19-N19</f>
        <v>5.5</v>
      </c>
      <c r="P19" s="247">
        <f>O19*G19</f>
        <v>5.5</v>
      </c>
    </row>
    <row r="20" spans="2:16" ht="20.149999999999999" customHeight="1" x14ac:dyDescent="0.45">
      <c r="B20" s="21"/>
      <c r="C20" s="338"/>
      <c r="D20" s="69"/>
      <c r="E20" s="69"/>
      <c r="F20" s="69"/>
      <c r="G20" s="45"/>
      <c r="H20" s="241"/>
      <c r="I20" s="322"/>
      <c r="J20" s="322"/>
      <c r="K20" s="22"/>
      <c r="L20" s="71"/>
      <c r="N20" s="247"/>
      <c r="O20" s="247"/>
      <c r="P20" s="247"/>
    </row>
    <row r="21" spans="2:16" ht="20.149999999999999" customHeight="1" x14ac:dyDescent="0.45">
      <c r="B21" s="21"/>
      <c r="C21" s="404"/>
      <c r="D21" s="130"/>
      <c r="E21" s="130"/>
      <c r="F21" s="130"/>
      <c r="G21" s="99"/>
      <c r="H21" s="65"/>
      <c r="I21" s="65"/>
      <c r="J21" s="65"/>
      <c r="K21" s="96"/>
      <c r="L21" s="71"/>
    </row>
    <row r="22" spans="2:16" ht="20.149999999999999" customHeight="1" x14ac:dyDescent="0.45">
      <c r="B22" s="21"/>
      <c r="C22" s="140"/>
      <c r="G22" s="99"/>
      <c r="H22" s="65"/>
      <c r="I22" s="65"/>
      <c r="J22" s="65"/>
      <c r="K22" s="96"/>
      <c r="L22" s="23"/>
    </row>
    <row r="23" spans="2:16" ht="20.149999999999999" customHeight="1" x14ac:dyDescent="0.45">
      <c r="B23" s="21"/>
      <c r="C23" s="305" t="s">
        <v>1738</v>
      </c>
      <c r="E23" s="69"/>
      <c r="F23" s="69"/>
      <c r="G23" s="99"/>
      <c r="H23" s="65"/>
      <c r="I23" s="65"/>
      <c r="J23" s="65"/>
      <c r="K23" s="22"/>
      <c r="L23" s="23"/>
    </row>
    <row r="24" spans="2:16" ht="20.149999999999999" customHeight="1" x14ac:dyDescent="0.45">
      <c r="B24" s="21"/>
      <c r="C24" s="338" t="s">
        <v>1080</v>
      </c>
      <c r="D24" s="430" t="str">
        <f>VLOOKUP(C24,'Sales Master'!B$3:D$643,2,0)</f>
        <v>Fine Sugar 白糖</v>
      </c>
      <c r="E24" s="430"/>
      <c r="F24" s="430"/>
      <c r="G24" s="99">
        <v>1</v>
      </c>
      <c r="H24" s="206" t="str">
        <f>VLOOKUP(C24,'Sales Master'!B$3:F$936,5,0)</f>
        <v>25 KGS</v>
      </c>
      <c r="I24" s="432" t="str">
        <f>VLOOKUP(C24,'Sales Master'!B$3:E$936,4,0)</f>
        <v>MITR PHOL</v>
      </c>
      <c r="J24" s="432"/>
      <c r="K24" s="22">
        <v>34</v>
      </c>
      <c r="L24" s="23"/>
    </row>
    <row r="25" spans="2:16" ht="20.149999999999999" customHeight="1" x14ac:dyDescent="0.45">
      <c r="B25" s="21"/>
      <c r="C25" s="338"/>
      <c r="D25" s="430"/>
      <c r="E25" s="430"/>
      <c r="F25" s="430"/>
      <c r="G25" s="45"/>
      <c r="H25" s="241"/>
      <c r="I25" s="432"/>
      <c r="J25" s="432"/>
      <c r="K25" s="96"/>
      <c r="L25" s="23"/>
    </row>
    <row r="26" spans="2:16" ht="20.149999999999999" customHeight="1" thickBot="1" x14ac:dyDescent="0.5">
      <c r="B26" s="24"/>
      <c r="C26" s="25"/>
      <c r="D26" s="473"/>
      <c r="E26" s="473"/>
      <c r="F26" s="473"/>
      <c r="G26" s="25"/>
      <c r="H26" s="66"/>
      <c r="I26" s="66"/>
      <c r="J26" s="66"/>
      <c r="K26" s="26"/>
      <c r="L26" s="27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16</v>
      </c>
      <c r="C28" s="10"/>
      <c r="D28" s="10"/>
      <c r="E28" s="10"/>
      <c r="F28" s="10"/>
      <c r="G28" s="10"/>
      <c r="H28" s="10"/>
      <c r="I28" s="10"/>
      <c r="J28" s="474" t="s">
        <v>13</v>
      </c>
      <c r="K28" s="475"/>
      <c r="L28" s="30">
        <f>SUM(L15:L27)</f>
        <v>30.5</v>
      </c>
      <c r="M28" s="95">
        <f>SUM(P10:P26)-L28*0.02</f>
        <v>8.2900000000000009</v>
      </c>
      <c r="N28" s="405">
        <f>M28-L29</f>
        <v>6.0307407407407378</v>
      </c>
    </row>
    <row r="29" spans="2:16" ht="20.149999999999999" customHeight="1" x14ac:dyDescent="0.45">
      <c r="B29" s="11" t="s">
        <v>17</v>
      </c>
      <c r="C29" s="10"/>
      <c r="D29" s="10"/>
      <c r="E29" s="10"/>
      <c r="F29" s="10"/>
      <c r="G29" s="10"/>
      <c r="H29" s="10"/>
      <c r="I29" s="10"/>
      <c r="J29" s="110" t="s">
        <v>553</v>
      </c>
      <c r="K29" s="113">
        <v>6.54E-2</v>
      </c>
      <c r="L29" s="32">
        <f>L28-L30</f>
        <v>2.2592592592592631</v>
      </c>
    </row>
    <row r="30" spans="2:16" ht="20.149999999999999" customHeight="1" x14ac:dyDescent="0.45">
      <c r="B30" s="11" t="s">
        <v>18</v>
      </c>
      <c r="C30" s="10"/>
      <c r="D30" s="10"/>
      <c r="E30" s="10"/>
      <c r="F30" s="10"/>
      <c r="G30" s="10"/>
      <c r="H30" s="10"/>
      <c r="I30" s="10"/>
      <c r="J30" s="476" t="s">
        <v>555</v>
      </c>
      <c r="K30" s="477"/>
      <c r="L30" s="114">
        <f>L28/108*100</f>
        <v>28.240740740740737</v>
      </c>
    </row>
    <row r="31" spans="2:16" ht="20.149999999999999" customHeight="1" x14ac:dyDescent="0.45">
      <c r="B31" s="11" t="s">
        <v>22</v>
      </c>
      <c r="C31" s="10"/>
      <c r="D31" s="10"/>
      <c r="E31" s="10"/>
      <c r="F31" s="10"/>
      <c r="G31" s="10"/>
      <c r="H31" s="10"/>
      <c r="I31" s="10"/>
      <c r="J31" s="111" t="s">
        <v>554</v>
      </c>
      <c r="K31" s="112">
        <v>0.08</v>
      </c>
      <c r="L31" s="44">
        <f>L30*K31</f>
        <v>2.2592592592592591</v>
      </c>
    </row>
    <row r="32" spans="2:16" ht="20.149999999999999" customHeight="1" thickBot="1" x14ac:dyDescent="0.5">
      <c r="B32" s="11" t="s">
        <v>748</v>
      </c>
      <c r="C32" s="10"/>
      <c r="D32" s="10"/>
      <c r="E32" s="10"/>
      <c r="F32" s="10"/>
      <c r="G32" s="10"/>
      <c r="H32" s="10"/>
      <c r="I32" s="10"/>
      <c r="J32" s="478" t="s">
        <v>21</v>
      </c>
      <c r="K32" s="479"/>
      <c r="L32" s="33">
        <f>L30+L31</f>
        <v>30.499999999999996</v>
      </c>
    </row>
    <row r="33" spans="2:12" ht="20.149999999999999" customHeight="1" x14ac:dyDescent="0.45">
      <c r="B33" s="11" t="s">
        <v>23</v>
      </c>
      <c r="C33" s="10"/>
      <c r="D33" s="10"/>
      <c r="E33" s="10"/>
      <c r="F33" s="10"/>
      <c r="G33" s="10"/>
      <c r="H33" s="10"/>
      <c r="I33" s="10"/>
      <c r="L33" s="29"/>
    </row>
    <row r="34" spans="2:12" ht="20.149999999999999" customHeight="1" x14ac:dyDescent="0.45">
      <c r="B34" s="183" t="s">
        <v>749</v>
      </c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24</v>
      </c>
      <c r="J39" s="60" t="s">
        <v>25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27"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B1:L8"/>
    <mergeCell ref="J32:K32"/>
    <mergeCell ref="D26:F26"/>
    <mergeCell ref="J28:K28"/>
    <mergeCell ref="J30:K30"/>
    <mergeCell ref="I17:J17"/>
    <mergeCell ref="D18:F18"/>
    <mergeCell ref="I18:J18"/>
    <mergeCell ref="D19:F19"/>
    <mergeCell ref="I19:J19"/>
    <mergeCell ref="D25:F25"/>
    <mergeCell ref="I25:J25"/>
    <mergeCell ref="D24:F24"/>
    <mergeCell ref="I24:J24"/>
    <mergeCell ref="D17:F17"/>
    <mergeCell ref="K10:L10"/>
  </mergeCells>
  <conditionalFormatting sqref="C22">
    <cfRule type="duplicateValues" dxfId="97" priority="166"/>
  </conditionalFormatting>
  <conditionalFormatting sqref="C23">
    <cfRule type="duplicateValues" dxfId="96" priority="1"/>
  </conditionalFormatting>
  <conditionalFormatting sqref="C24">
    <cfRule type="duplicateValues" dxfId="95" priority="3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D078-A737-4631-9859-1B7BFD14D04A}">
  <sheetPr codeName="Sheet56">
    <tabColor rgb="FFFFC000"/>
    <pageSetUpPr fitToPage="1"/>
  </sheetPr>
  <dimension ref="B1:V46"/>
  <sheetViews>
    <sheetView topLeftCell="B23" zoomScaleNormal="100" workbookViewId="0">
      <selection activeCell="B1" sqref="B1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5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  <c r="O2" s="172" t="s">
        <v>1220</v>
      </c>
    </row>
    <row r="3" spans="2:15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5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5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5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5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5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61"/>
      <c r="D10" s="14"/>
      <c r="E10" s="14"/>
      <c r="F10" s="15" t="s">
        <v>8</v>
      </c>
      <c r="G10" s="16"/>
      <c r="H10" s="16" t="s">
        <v>510</v>
      </c>
      <c r="J10" s="17" t="s">
        <v>26</v>
      </c>
      <c r="K10" s="455">
        <v>202310594</v>
      </c>
      <c r="L10" s="456"/>
    </row>
    <row r="11" spans="2:15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新兴甜品                                                     Blk 159 Mei Chin Road  #02-25  Singapore 140159</v>
      </c>
      <c r="G11" s="445"/>
      <c r="H11" s="446"/>
      <c r="J11" s="18" t="s">
        <v>9</v>
      </c>
      <c r="K11" s="460">
        <v>45224</v>
      </c>
      <c r="L11" s="461"/>
    </row>
    <row r="12" spans="2:15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5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5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5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167" t="s">
        <v>620</v>
      </c>
      <c r="L15" s="138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20.149999999999999" customHeight="1" x14ac:dyDescent="0.45">
      <c r="B18" s="21"/>
      <c r="C18" s="338" t="s">
        <v>949</v>
      </c>
      <c r="D18" s="503" t="str">
        <f>VLOOKUP(C18,'Sales Master'!B$3:D$644,2,0)</f>
        <v>Black Glutinous Rice 黑糯米</v>
      </c>
      <c r="E18" s="503"/>
      <c r="F18" s="503"/>
      <c r="G18" s="45">
        <v>1</v>
      </c>
      <c r="H18" s="241" t="str">
        <f>VLOOKUP(C18,'Sales Master'!B$3:F$936,5,0)</f>
        <v>5 kgs</v>
      </c>
      <c r="I18" s="432" t="str">
        <f>VLOOKUP(C18,'Sales Master'!B$3:E$936,4,0)</f>
        <v>-</v>
      </c>
      <c r="J18" s="432"/>
      <c r="K18" s="22">
        <f>VLOOKUP(C18,'Sales Master'!$B$3:$DJ$3017,113,0)</f>
        <v>18</v>
      </c>
      <c r="L18" s="71">
        <f t="shared" ref="L18" si="0">K18*G18</f>
        <v>18</v>
      </c>
      <c r="N18" s="247">
        <f>VLOOKUP(C18,'Sales Master'!$B$3:$FA$3051,156,0)</f>
        <v>12.960000000000003</v>
      </c>
      <c r="O18" s="247">
        <f t="shared" ref="O18" si="1">K18-N18</f>
        <v>5.0399999999999974</v>
      </c>
      <c r="P18" s="247">
        <f t="shared" ref="P18" si="2">O18*G18</f>
        <v>5.0399999999999974</v>
      </c>
      <c r="R18" s="60">
        <v>2</v>
      </c>
      <c r="S18" s="60" t="s">
        <v>33</v>
      </c>
      <c r="T18" s="60" t="s">
        <v>407</v>
      </c>
      <c r="V18" s="60">
        <v>25</v>
      </c>
    </row>
    <row r="19" spans="2:22" ht="20.149999999999999" customHeight="1" x14ac:dyDescent="0.45">
      <c r="B19" s="21"/>
      <c r="C19" s="338" t="s">
        <v>1080</v>
      </c>
      <c r="D19" s="503" t="str">
        <f>VLOOKUP(C19,'Sales Master'!B$3:D$644,2,0)</f>
        <v>Fine Sugar 白糖</v>
      </c>
      <c r="E19" s="503"/>
      <c r="F19" s="503"/>
      <c r="G19" s="45">
        <v>3</v>
      </c>
      <c r="H19" s="241" t="str">
        <f>VLOOKUP(C19,'Sales Master'!B$3:F$936,5,0)</f>
        <v>25 KGS</v>
      </c>
      <c r="I19" s="432" t="str">
        <f>VLOOKUP(C19,'Sales Master'!B$3:E$936,4,0)</f>
        <v>MITR PHOL</v>
      </c>
      <c r="J19" s="432"/>
      <c r="K19" s="22">
        <f>VLOOKUP(C19,'Sales Master'!$B$3:$DJ$3017,113,0)</f>
        <v>33.5</v>
      </c>
      <c r="L19" s="71">
        <f>K19*G19</f>
        <v>100.5</v>
      </c>
      <c r="N19" s="247">
        <f>VLOOKUP(C19,'Sales Master'!$B$3:$FA$3051,156,0)</f>
        <v>26.784000000000002</v>
      </c>
      <c r="O19" s="247">
        <f>K19-N19</f>
        <v>6.7159999999999975</v>
      </c>
      <c r="P19" s="247">
        <f>O19*G19</f>
        <v>20.147999999999993</v>
      </c>
      <c r="S19" s="95">
        <f>N19*1.25</f>
        <v>33.480000000000004</v>
      </c>
    </row>
    <row r="20" spans="2:22" ht="20.149999999999999" customHeight="1" x14ac:dyDescent="0.45">
      <c r="B20" s="21"/>
      <c r="C20" s="338"/>
      <c r="D20" s="503"/>
      <c r="E20" s="503"/>
      <c r="F20" s="503"/>
      <c r="G20" s="45"/>
      <c r="H20" s="241"/>
      <c r="I20" s="432"/>
      <c r="J20" s="432"/>
      <c r="K20" s="22"/>
      <c r="L20" s="71"/>
      <c r="N20" s="247"/>
      <c r="O20" s="247"/>
      <c r="P20" s="247"/>
    </row>
    <row r="21" spans="2:22" ht="20.149999999999999" customHeight="1" x14ac:dyDescent="0.45">
      <c r="B21" s="21"/>
      <c r="C21" s="338"/>
      <c r="D21" s="503"/>
      <c r="E21" s="503"/>
      <c r="F21" s="503"/>
      <c r="G21" s="45"/>
      <c r="H21" s="241"/>
      <c r="I21" s="432"/>
      <c r="J21" s="432"/>
      <c r="K21" s="22"/>
      <c r="L21" s="71"/>
      <c r="N21" s="247"/>
      <c r="O21" s="247"/>
      <c r="P21" s="247"/>
    </row>
    <row r="22" spans="2:22" ht="20.149999999999999" customHeight="1" x14ac:dyDescent="0.45">
      <c r="B22" s="21"/>
      <c r="C22" s="338"/>
      <c r="D22" s="503"/>
      <c r="E22" s="503"/>
      <c r="F22" s="503"/>
      <c r="G22" s="45"/>
      <c r="H22" s="241"/>
      <c r="I22" s="432"/>
      <c r="J22" s="432"/>
      <c r="K22" s="22"/>
      <c r="L22" s="71"/>
      <c r="N22" s="247"/>
      <c r="O22" s="247"/>
      <c r="P22" s="247"/>
    </row>
    <row r="23" spans="2:22" ht="20.149999999999999" customHeight="1" x14ac:dyDescent="0.45">
      <c r="B23" s="21"/>
      <c r="C23" s="338"/>
      <c r="D23" s="503"/>
      <c r="E23" s="503"/>
      <c r="F23" s="503"/>
      <c r="G23" s="45"/>
      <c r="H23" s="241"/>
      <c r="I23" s="432"/>
      <c r="J23" s="432"/>
      <c r="K23" s="22"/>
      <c r="L23" s="71"/>
      <c r="N23" s="247"/>
      <c r="O23" s="247"/>
      <c r="P23" s="247"/>
    </row>
    <row r="24" spans="2:22" ht="20.149999999999999" customHeight="1" x14ac:dyDescent="0.45">
      <c r="B24" s="21"/>
      <c r="C24" s="338"/>
      <c r="D24" s="503"/>
      <c r="E24" s="503"/>
      <c r="F24" s="503"/>
      <c r="G24" s="45"/>
      <c r="H24" s="241"/>
      <c r="I24" s="432"/>
      <c r="J24" s="432"/>
      <c r="K24" s="22"/>
      <c r="L24" s="71"/>
      <c r="N24" s="247"/>
      <c r="O24" s="247"/>
      <c r="P24" s="247"/>
    </row>
    <row r="25" spans="2:22" ht="20.149999999999999" customHeight="1" x14ac:dyDescent="0.45">
      <c r="B25" s="21"/>
      <c r="C25" s="338"/>
      <c r="D25" s="503"/>
      <c r="E25" s="503"/>
      <c r="F25" s="503"/>
      <c r="G25" s="45"/>
      <c r="H25" s="241"/>
      <c r="I25" s="432"/>
      <c r="J25" s="432"/>
      <c r="K25" s="22"/>
      <c r="L25" s="71"/>
      <c r="N25" s="247"/>
      <c r="O25" s="247"/>
      <c r="P25" s="247"/>
    </row>
    <row r="26" spans="2:22" ht="20.149999999999999" customHeight="1" x14ac:dyDescent="0.45">
      <c r="B26" s="21"/>
      <c r="C26" s="45"/>
      <c r="D26" s="503"/>
      <c r="E26" s="503"/>
      <c r="F26" s="503"/>
      <c r="G26" s="45"/>
      <c r="H26" s="241"/>
      <c r="I26" s="432"/>
      <c r="J26" s="432"/>
      <c r="K26" s="22"/>
      <c r="L26" s="71"/>
      <c r="N26" s="247"/>
      <c r="O26" s="247"/>
      <c r="P26" s="247"/>
    </row>
    <row r="27" spans="2:22" ht="20.149999999999999" customHeight="1" x14ac:dyDescent="0.45">
      <c r="B27" s="21"/>
      <c r="C27" s="45"/>
      <c r="G27" s="45"/>
      <c r="H27" s="241"/>
      <c r="I27" s="322"/>
      <c r="J27" s="322"/>
      <c r="K27" s="22"/>
      <c r="L27" s="71"/>
      <c r="N27" s="247"/>
      <c r="O27" s="247"/>
      <c r="P27" s="247"/>
    </row>
    <row r="28" spans="2:22" ht="20.149999999999999" customHeight="1" x14ac:dyDescent="0.45">
      <c r="B28" s="70"/>
      <c r="C28" s="305" t="s">
        <v>1742</v>
      </c>
      <c r="E28" s="69"/>
      <c r="F28" s="69"/>
      <c r="G28" s="99"/>
      <c r="H28" s="65"/>
      <c r="I28" s="65"/>
      <c r="J28" s="65"/>
      <c r="K28" s="22"/>
      <c r="L28" s="71"/>
      <c r="N28" s="247"/>
      <c r="O28" s="247"/>
      <c r="P28" s="247"/>
    </row>
    <row r="29" spans="2:22" ht="20.149999999999999" customHeight="1" x14ac:dyDescent="0.45">
      <c r="B29" s="70"/>
      <c r="C29" s="338" t="s">
        <v>1080</v>
      </c>
      <c r="D29" s="69" t="str">
        <f>VLOOKUP(C29,'Sales Master'!B$3:D$644,2,0)</f>
        <v>Fine Sugar 白糖</v>
      </c>
      <c r="E29" s="69"/>
      <c r="F29" s="69"/>
      <c r="G29" s="45">
        <v>1</v>
      </c>
      <c r="H29" s="241" t="str">
        <f>VLOOKUP(C29,'Sales Master'!B$3:F$936,5,0)</f>
        <v>25 KGS</v>
      </c>
      <c r="I29" s="432" t="str">
        <f>VLOOKUP(C29,'Sales Master'!B$3:E$936,4,0)</f>
        <v>MITR PHOL</v>
      </c>
      <c r="J29" s="432"/>
      <c r="K29" s="22">
        <v>34</v>
      </c>
      <c r="L29" s="71"/>
      <c r="N29" s="247"/>
      <c r="O29" s="247"/>
      <c r="P29" s="247"/>
    </row>
    <row r="30" spans="2:22" ht="20.149999999999999" customHeight="1" x14ac:dyDescent="0.45">
      <c r="B30" s="70"/>
      <c r="C30" s="338"/>
      <c r="D30" s="69"/>
      <c r="E30" s="69"/>
      <c r="F30" s="69"/>
      <c r="G30" s="45"/>
      <c r="H30" s="241"/>
      <c r="I30" s="432"/>
      <c r="J30" s="432"/>
      <c r="K30" s="22"/>
      <c r="L30" s="71"/>
    </row>
    <row r="31" spans="2:22" ht="20.149999999999999" customHeight="1" x14ac:dyDescent="0.45">
      <c r="B31" s="70"/>
      <c r="C31" s="45"/>
      <c r="D31" s="430"/>
      <c r="E31" s="430"/>
      <c r="F31" s="430"/>
      <c r="G31" s="45"/>
      <c r="H31" s="65"/>
      <c r="I31" s="431"/>
      <c r="J31" s="431"/>
      <c r="K31" s="22"/>
      <c r="L31" s="98"/>
    </row>
    <row r="32" spans="2:22" ht="20.149999999999999" customHeight="1" thickBot="1" x14ac:dyDescent="0.5">
      <c r="B32" s="24"/>
      <c r="C32" s="25"/>
      <c r="D32" s="473"/>
      <c r="E32" s="473"/>
      <c r="F32" s="473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>
        <f>SUM(L18:L33)</f>
        <v>118.5</v>
      </c>
      <c r="M34" s="95">
        <f>SUM(P18:P32)</f>
        <v>25.187999999999988</v>
      </c>
      <c r="N34" s="405">
        <f>M34-L35</f>
        <v>16.410222222222217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>
        <f>L34-L36</f>
        <v>8.7777777777777715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>
        <f>L34/108*100</f>
        <v>109.72222222222223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0.08</v>
      </c>
      <c r="L37" s="44">
        <f>L36*K37</f>
        <v>8.7777777777777786</v>
      </c>
    </row>
    <row r="38" spans="2:14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>
        <f>L36+L37</f>
        <v>118.5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4" ht="20.149999999999999" customHeight="1" x14ac:dyDescent="0.45">
      <c r="B40" s="183" t="s">
        <v>749</v>
      </c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40">
    <mergeCell ref="D24:F24"/>
    <mergeCell ref="I24:J24"/>
    <mergeCell ref="I30:J30"/>
    <mergeCell ref="I29:J29"/>
    <mergeCell ref="I25:J25"/>
    <mergeCell ref="D25:F25"/>
    <mergeCell ref="D26:F26"/>
    <mergeCell ref="I26:J26"/>
    <mergeCell ref="D23:F23"/>
    <mergeCell ref="I21:J21"/>
    <mergeCell ref="D21:F21"/>
    <mergeCell ref="I17:J17"/>
    <mergeCell ref="I18:J18"/>
    <mergeCell ref="I20:J20"/>
    <mergeCell ref="D17:F17"/>
    <mergeCell ref="I23:J23"/>
    <mergeCell ref="D18:F18"/>
    <mergeCell ref="I19:J19"/>
    <mergeCell ref="I22:J22"/>
    <mergeCell ref="D20:F20"/>
    <mergeCell ref="D22:F22"/>
    <mergeCell ref="D19:F19"/>
    <mergeCell ref="J38:K38"/>
    <mergeCell ref="D32:F32"/>
    <mergeCell ref="J34:K34"/>
    <mergeCell ref="J36:K36"/>
    <mergeCell ref="D31:F31"/>
    <mergeCell ref="I31:J3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8">
    <cfRule type="duplicateValues" dxfId="94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998EA-A1C1-4120-9520-97011FA911D3}">
  <sheetPr codeName="Sheet32">
    <tabColor rgb="FFFFC000"/>
    <pageSetUpPr fitToPage="1"/>
  </sheetPr>
  <dimension ref="B1:P49"/>
  <sheetViews>
    <sheetView topLeftCell="A23" zoomScaleNormal="100" workbookViewId="0">
      <selection activeCell="B1" sqref="B1:L4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4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334</v>
      </c>
      <c r="C10" s="13"/>
      <c r="D10" s="14"/>
      <c r="E10" s="14"/>
      <c r="F10" s="15" t="s">
        <v>8</v>
      </c>
      <c r="G10" s="16"/>
      <c r="H10" s="16" t="s">
        <v>473</v>
      </c>
      <c r="J10" s="17" t="s">
        <v>26</v>
      </c>
      <c r="K10" s="455">
        <v>202311097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福记                                                          Blk254  Jurong East Street 24         #01-05  Singapore 600254</v>
      </c>
      <c r="G11" s="445"/>
      <c r="H11" s="446"/>
      <c r="J11" s="18" t="s">
        <v>9</v>
      </c>
      <c r="K11" s="460">
        <v>45233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502" t="s">
        <v>33</v>
      </c>
      <c r="L12" s="466"/>
      <c r="N12" s="172" t="s">
        <v>1220</v>
      </c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167" t="s">
        <v>620</v>
      </c>
      <c r="L15" s="138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70"/>
      <c r="C18" s="338" t="s">
        <v>830</v>
      </c>
      <c r="D18" s="430" t="str">
        <f>VLOOKUP(C18,'Sales Master'!B$3:D$644,2,0)</f>
        <v>Bobo ChaCha Cubes 摩摩喳喳</v>
      </c>
      <c r="E18" s="430"/>
      <c r="F18" s="430"/>
      <c r="G18" s="45">
        <v>1</v>
      </c>
      <c r="H18" s="241" t="str">
        <f>VLOOKUP(C18,'Sales Master'!B$3:F$936,5,0)</f>
        <v>800 GM/ Bag包</v>
      </c>
      <c r="I18" s="432" t="str">
        <f>VLOOKUP(C18,'Sales Master'!B$3:E$936,4,0)</f>
        <v>DO!</v>
      </c>
      <c r="J18" s="432"/>
      <c r="K18" s="22">
        <f>VLOOKUP(C18,'Sales Master'!B$3:AL$527,37,0)</f>
        <v>7</v>
      </c>
      <c r="L18" s="71">
        <f t="shared" ref="L18" si="0">K18*G18</f>
        <v>7</v>
      </c>
      <c r="N18" s="247">
        <f>VLOOKUP(C18,'Sales Master'!$B$3:$FA$3051,156,0)</f>
        <v>0.89</v>
      </c>
      <c r="O18" s="247">
        <f t="shared" ref="O18" si="1">K18-N18</f>
        <v>6.11</v>
      </c>
      <c r="P18" s="247">
        <f t="shared" ref="P18" si="2">O18*G18</f>
        <v>6.11</v>
      </c>
    </row>
    <row r="19" spans="2:16" ht="20.149999999999999" customHeight="1" x14ac:dyDescent="0.45">
      <c r="B19" s="21"/>
      <c r="C19" s="338" t="s">
        <v>903</v>
      </c>
      <c r="D19" s="430" t="str">
        <f>VLOOKUP(C19,'Sales Master'!B$3:D$644,2,0)</f>
        <v>Potato Starch 风车粉</v>
      </c>
      <c r="E19" s="430"/>
      <c r="F19" s="430"/>
      <c r="G19" s="45">
        <v>1</v>
      </c>
      <c r="H19" s="241" t="str">
        <f>VLOOKUP(C19,'Sales Master'!B$3:F$936,5,0)</f>
        <v>5 kg</v>
      </c>
      <c r="I19" s="432" t="str">
        <f>VLOOKUP(C19,'Sales Master'!B$3:E$936,4,0)</f>
        <v>RE-PACK</v>
      </c>
      <c r="J19" s="432"/>
      <c r="K19" s="22">
        <f>VLOOKUP(C19,'Sales Master'!B$3:AL$527,37,0)</f>
        <v>15</v>
      </c>
      <c r="L19" s="71">
        <f>K19*G19</f>
        <v>15</v>
      </c>
      <c r="N19" s="247">
        <f>VLOOKUP(C19,'Sales Master'!$B$3:$FA$3051,156,0)</f>
        <v>8</v>
      </c>
      <c r="O19" s="247">
        <f>K19-N19</f>
        <v>7</v>
      </c>
      <c r="P19" s="247">
        <f>O19*G19</f>
        <v>7</v>
      </c>
    </row>
    <row r="20" spans="2:16" ht="20.149999999999999" customHeight="1" x14ac:dyDescent="0.45">
      <c r="B20" s="21"/>
      <c r="C20" s="338" t="s">
        <v>855</v>
      </c>
      <c r="D20" s="430" t="str">
        <f>VLOOKUP(C20,'Sales Master'!B$3:D$644,2,0)</f>
        <v>Atap Seeds in Syrup 亚嗒子</v>
      </c>
      <c r="E20" s="430"/>
      <c r="F20" s="430"/>
      <c r="G20" s="45">
        <v>1</v>
      </c>
      <c r="H20" s="241" t="str">
        <f>VLOOKUP(C20,'Sales Master'!B$3:F$936,5,0)</f>
        <v>20 kgs/桶</v>
      </c>
      <c r="I20" s="432" t="str">
        <f>VLOOKUP(C20,'Sales Master'!B$3:E$936,4,0)</f>
        <v>2P</v>
      </c>
      <c r="J20" s="432"/>
      <c r="K20" s="22">
        <f>VLOOKUP(C20,'Sales Master'!B$3:AL$527,37,0)</f>
        <v>68</v>
      </c>
      <c r="L20" s="71">
        <f>K20*G20</f>
        <v>68</v>
      </c>
      <c r="N20" s="247">
        <f>VLOOKUP(C20,'Sales Master'!$B$3:$FA$3051,156,0)</f>
        <v>59.400000000000006</v>
      </c>
      <c r="O20" s="247">
        <f>K20-N20</f>
        <v>8.5999999999999943</v>
      </c>
      <c r="P20" s="247">
        <f>O20*G20</f>
        <v>8.5999999999999943</v>
      </c>
    </row>
    <row r="21" spans="2:16" ht="20.149999999999999" customHeight="1" x14ac:dyDescent="0.45">
      <c r="B21" s="21"/>
      <c r="C21" s="338" t="s">
        <v>924</v>
      </c>
      <c r="D21" s="430" t="str">
        <f>VLOOKUP(C21,'Sales Master'!B$3:D$644,2,0)</f>
        <v>Red Bean 红豆</v>
      </c>
      <c r="E21" s="430"/>
      <c r="F21" s="430"/>
      <c r="G21" s="45">
        <v>3</v>
      </c>
      <c r="H21" s="241" t="str">
        <f>VLOOKUP(C21,'Sales Master'!B$3:F$936,5,0)</f>
        <v>5 kgs</v>
      </c>
      <c r="I21" s="432" t="str">
        <f>VLOOKUP(C21,'Sales Master'!B$3:E$936,4,0)</f>
        <v>-</v>
      </c>
      <c r="J21" s="432"/>
      <c r="K21" s="22">
        <f>VLOOKUP(C21,'Sales Master'!B$3:AL$527,37,0)</f>
        <v>18.5</v>
      </c>
      <c r="L21" s="71">
        <f t="shared" ref="L21" si="3">K21*G21</f>
        <v>55.5</v>
      </c>
      <c r="N21" s="247">
        <f>VLOOKUP(C21,'Sales Master'!$B$3:$FA$3051,156,0)</f>
        <v>13.5</v>
      </c>
      <c r="O21" s="247">
        <f t="shared" ref="O21" si="4">K21-N21</f>
        <v>5</v>
      </c>
      <c r="P21" s="247">
        <f t="shared" ref="P21" si="5">O21*G21</f>
        <v>15</v>
      </c>
    </row>
    <row r="22" spans="2:16" ht="20.149999999999999" customHeight="1" x14ac:dyDescent="0.45">
      <c r="B22" s="21"/>
      <c r="C22" s="338" t="s">
        <v>937</v>
      </c>
      <c r="D22" s="430" t="str">
        <f>VLOOKUP(C22,'Sales Master'!B$3:D$644,2,0)</f>
        <v>Green Bean 绿豆</v>
      </c>
      <c r="E22" s="430"/>
      <c r="F22" s="430"/>
      <c r="G22" s="45">
        <v>2</v>
      </c>
      <c r="H22" s="241" t="str">
        <f>VLOOKUP(C22,'Sales Master'!B$3:F$936,5,0)</f>
        <v>5 KGS</v>
      </c>
      <c r="I22" s="432" t="str">
        <f>VLOOKUP(C22,'Sales Master'!B$3:E$936,4,0)</f>
        <v>-</v>
      </c>
      <c r="J22" s="432"/>
      <c r="K22" s="22">
        <f>VLOOKUP(C22,'Sales Master'!B$3:AL$527,37,0)</f>
        <v>14</v>
      </c>
      <c r="L22" s="71">
        <f>K22*G22</f>
        <v>28</v>
      </c>
      <c r="N22" s="247">
        <f>VLOOKUP(C22,'Sales Master'!$B$3:$FA$3051,156,0)</f>
        <v>9.7199999999999989</v>
      </c>
      <c r="O22" s="247">
        <f>K22-N22</f>
        <v>4.2800000000000011</v>
      </c>
      <c r="P22" s="247">
        <f>O22*G22</f>
        <v>8.5600000000000023</v>
      </c>
    </row>
    <row r="23" spans="2:16" ht="20.149999999999999" customHeight="1" x14ac:dyDescent="0.45">
      <c r="B23" s="21"/>
      <c r="C23" s="338" t="s">
        <v>943</v>
      </c>
      <c r="D23" s="430" t="str">
        <f>VLOOKUP(C23,'Sales Master'!B$3:D$644,2,0)</f>
        <v>Split Green Mung Bean 豆爽</v>
      </c>
      <c r="E23" s="430"/>
      <c r="F23" s="430"/>
      <c r="G23" s="45">
        <v>2</v>
      </c>
      <c r="H23" s="241" t="str">
        <f>VLOOKUP(C23,'Sales Master'!B$3:F$936,5,0)</f>
        <v>5 KG</v>
      </c>
      <c r="I23" s="432" t="str">
        <f>VLOOKUP(C23,'Sales Master'!B$3:E$936,4,0)</f>
        <v>SW</v>
      </c>
      <c r="J23" s="432"/>
      <c r="K23" s="22">
        <f>VLOOKUP(C23,'Sales Master'!B$3:AL$527,37,0)</f>
        <v>17.5</v>
      </c>
      <c r="L23" s="71">
        <f t="shared" ref="L23" si="6">K23*G23</f>
        <v>35</v>
      </c>
      <c r="N23" s="247">
        <f>VLOOKUP(C23,'Sales Master'!$B$3:$FA$3051,156,0)</f>
        <v>14.040000000000001</v>
      </c>
      <c r="O23" s="247">
        <f t="shared" ref="O23" si="7">K23-N23</f>
        <v>3.4599999999999991</v>
      </c>
      <c r="P23" s="247">
        <f t="shared" ref="P23" si="8">O23*G23</f>
        <v>6.9199999999999982</v>
      </c>
    </row>
    <row r="24" spans="2:16" ht="20.149999999999999" customHeight="1" x14ac:dyDescent="0.45">
      <c r="B24" s="21"/>
      <c r="C24" s="338" t="s">
        <v>949</v>
      </c>
      <c r="D24" s="430" t="str">
        <f>VLOOKUP(C24,'Sales Master'!B$3:D$644,2,0)</f>
        <v>Black Glutinous Rice 黑糯米</v>
      </c>
      <c r="E24" s="430"/>
      <c r="F24" s="430"/>
      <c r="G24" s="45">
        <v>1</v>
      </c>
      <c r="H24" s="241" t="str">
        <f>VLOOKUP(C24,'Sales Master'!B$3:F$936,5,0)</f>
        <v>5 kgs</v>
      </c>
      <c r="I24" s="432" t="str">
        <f>VLOOKUP(C24,'Sales Master'!B$3:E$936,4,0)</f>
        <v>-</v>
      </c>
      <c r="J24" s="432"/>
      <c r="K24" s="22">
        <f>VLOOKUP(C24,'Sales Master'!B$3:AL$527,37,0)</f>
        <v>18</v>
      </c>
      <c r="L24" s="71">
        <f>K24*G24</f>
        <v>18</v>
      </c>
      <c r="N24" s="247">
        <f>VLOOKUP(C24,'Sales Master'!$B$3:$FA$3051,156,0)</f>
        <v>12.960000000000003</v>
      </c>
      <c r="O24" s="247">
        <f>K24-N24</f>
        <v>5.0399999999999974</v>
      </c>
      <c r="P24" s="247">
        <f>O24*G24</f>
        <v>5.0399999999999974</v>
      </c>
    </row>
    <row r="25" spans="2:16" ht="20.149999999999999" customHeight="1" x14ac:dyDescent="0.45">
      <c r="B25" s="21"/>
      <c r="C25" s="338" t="s">
        <v>970</v>
      </c>
      <c r="D25" s="430" t="str">
        <f>VLOOKUP(C25,'Sales Master'!B$3:D$644,2,0)</f>
        <v>Dried Longan 龙眼干</v>
      </c>
      <c r="E25" s="430"/>
      <c r="F25" s="430"/>
      <c r="G25" s="45">
        <v>2</v>
      </c>
      <c r="H25" s="241" t="str">
        <f>VLOOKUP(C25,'Sales Master'!B$3:F$936,5,0)</f>
        <v>1 kg</v>
      </c>
      <c r="I25" s="432" t="str">
        <f>VLOOKUP(C25,'Sales Master'!B$3:E$936,4,0)</f>
        <v>中</v>
      </c>
      <c r="J25" s="432"/>
      <c r="K25" s="22">
        <f>VLOOKUP(C25,'Sales Master'!B$3:AL$527,37,0)</f>
        <v>14</v>
      </c>
      <c r="L25" s="71">
        <f>K25*G25</f>
        <v>28</v>
      </c>
      <c r="N25" s="247">
        <f>VLOOKUP(C25,'Sales Master'!$B$3:$FA$3051,156,0)</f>
        <v>9.8000000000000007</v>
      </c>
      <c r="O25" s="247">
        <f>K25-N25</f>
        <v>4.1999999999999993</v>
      </c>
      <c r="P25" s="247">
        <f>O25*G25</f>
        <v>8.3999999999999986</v>
      </c>
    </row>
    <row r="26" spans="2:16" ht="20.149999999999999" customHeight="1" x14ac:dyDescent="0.45">
      <c r="B26" s="21"/>
      <c r="C26" s="338" t="s">
        <v>985</v>
      </c>
      <c r="D26" s="430" t="str">
        <f>VLOOKUP(C26,'Sales Master'!B$3:D$644,2,0)</f>
        <v>Bean Curd Sheet 腐竹</v>
      </c>
      <c r="E26" s="430"/>
      <c r="F26" s="430"/>
      <c r="G26" s="45">
        <v>10</v>
      </c>
      <c r="H26" s="241" t="str">
        <f>VLOOKUP(C26,'Sales Master'!B$3:F$936,5,0)</f>
        <v>150G/PKT</v>
      </c>
      <c r="I26" s="432" t="str">
        <f>VLOOKUP(C26,'Sales Master'!B$3:E$936,4,0)</f>
        <v>生记</v>
      </c>
      <c r="J26" s="432"/>
      <c r="K26" s="22">
        <f>VLOOKUP(C26,'Sales Master'!B$3:AL$527,37,0)</f>
        <v>3</v>
      </c>
      <c r="L26" s="71">
        <f t="shared" ref="L26" si="9">K26*G26</f>
        <v>30</v>
      </c>
      <c r="N26" s="247">
        <f>VLOOKUP(C26,'Sales Master'!$B$3:$FA$3051,156,0)</f>
        <v>2.5</v>
      </c>
      <c r="O26" s="247">
        <f t="shared" ref="O26" si="10">K26-N26</f>
        <v>0.5</v>
      </c>
      <c r="P26" s="247">
        <f t="shared" ref="P26" si="11">O26*G26</f>
        <v>5</v>
      </c>
    </row>
    <row r="27" spans="2:16" ht="20.149999999999999" customHeight="1" x14ac:dyDescent="0.45">
      <c r="B27" s="21"/>
      <c r="C27" s="338" t="s">
        <v>1020</v>
      </c>
      <c r="D27" s="430" t="str">
        <f>VLOOKUP(C27,'Sales Master'!B$3:D$644,2,0)</f>
        <v>Sea Coconut 海底椰</v>
      </c>
      <c r="E27" s="430"/>
      <c r="F27" s="430"/>
      <c r="G27" s="45">
        <v>1</v>
      </c>
      <c r="H27" s="241" t="str">
        <f>VLOOKUP(C27,'Sales Master'!B$3:F$936,5,0)</f>
        <v>1 Can X A10</v>
      </c>
      <c r="I27" s="432" t="str">
        <f>VLOOKUP(C27,'Sales Master'!B$3:E$936,4,0)</f>
        <v>Chefs</v>
      </c>
      <c r="J27" s="432"/>
      <c r="K27" s="22">
        <f>VLOOKUP(C27,'Sales Master'!B$3:AL$527,37,0)</f>
        <v>19</v>
      </c>
      <c r="L27" s="71">
        <f t="shared" ref="L27" si="12">K27*G27</f>
        <v>19</v>
      </c>
      <c r="N27" s="247">
        <f>VLOOKUP(C27,'Sales Master'!$B$3:$FA$3051,156,0)</f>
        <v>14.333333333333334</v>
      </c>
      <c r="O27" s="247">
        <f t="shared" ref="O27" si="13">K27-N27</f>
        <v>4.6666666666666661</v>
      </c>
      <c r="P27" s="247">
        <f t="shared" ref="P27" si="14">O27*G27</f>
        <v>4.6666666666666661</v>
      </c>
    </row>
    <row r="28" spans="2:16" ht="20.149999999999999" customHeight="1" x14ac:dyDescent="0.45">
      <c r="B28" s="21"/>
      <c r="C28" s="338" t="s">
        <v>1059</v>
      </c>
      <c r="D28" s="430" t="str">
        <f>VLOOKUP(C28,'Sales Master'!B$3:D$644,2,0)</f>
        <v>Coconut Milk 椰浆</v>
      </c>
      <c r="E28" s="430"/>
      <c r="F28" s="430"/>
      <c r="G28" s="45">
        <v>2</v>
      </c>
      <c r="H28" s="241" t="str">
        <f>VLOOKUP(C28,'Sales Master'!B$3:F$936,5,0)</f>
        <v>(1L x 12bag)/箱</v>
      </c>
      <c r="I28" s="432" t="str">
        <f>VLOOKUP(C28,'Sales Master'!B$3:E$936,4,0)</f>
        <v>Kara UHT</v>
      </c>
      <c r="J28" s="432"/>
      <c r="K28" s="22">
        <f>VLOOKUP(C28,'Sales Master'!B$3:AL$527,37,0)</f>
        <v>42</v>
      </c>
      <c r="L28" s="71">
        <f>K28*G28</f>
        <v>84</v>
      </c>
      <c r="N28" s="247">
        <f>VLOOKUP(C28,'Sales Master'!$B$3:$FA$3051,156,0)</f>
        <v>35.799999999999997</v>
      </c>
      <c r="O28" s="247">
        <f>K28-N28</f>
        <v>6.2000000000000028</v>
      </c>
      <c r="P28" s="247">
        <f>O28*G28</f>
        <v>12.400000000000006</v>
      </c>
    </row>
    <row r="29" spans="2:16" ht="20.149999999999999" customHeight="1" x14ac:dyDescent="0.45">
      <c r="B29" s="21"/>
      <c r="C29" s="338" t="s">
        <v>1080</v>
      </c>
      <c r="D29" s="430" t="str">
        <f>VLOOKUP(C29,'Sales Master'!B$3:D$644,2,0)</f>
        <v>Fine Sugar 白糖</v>
      </c>
      <c r="E29" s="430"/>
      <c r="F29" s="430"/>
      <c r="G29" s="45">
        <v>2</v>
      </c>
      <c r="H29" s="241" t="str">
        <f>VLOOKUP(C29,'Sales Master'!B$3:F$936,5,0)</f>
        <v>25 KGS</v>
      </c>
      <c r="I29" s="432" t="str">
        <f>VLOOKUP(C29,'Sales Master'!B$3:E$936,4,0)</f>
        <v>MITR PHOL</v>
      </c>
      <c r="J29" s="432"/>
      <c r="K29" s="22">
        <f>VLOOKUP(C29,'Sales Master'!B$3:AL$527,37,0)</f>
        <v>34</v>
      </c>
      <c r="L29" s="71">
        <f t="shared" ref="L29" si="15">K29*G29</f>
        <v>68</v>
      </c>
      <c r="N29" s="247">
        <f>VLOOKUP(C29,'Sales Master'!$B$3:$FA$3051,156,0)</f>
        <v>26.784000000000002</v>
      </c>
      <c r="O29" s="247">
        <f t="shared" ref="O29" si="16">K29-N29</f>
        <v>7.2159999999999975</v>
      </c>
      <c r="P29" s="247">
        <f t="shared" ref="P29" si="17">O29*G29</f>
        <v>14.431999999999995</v>
      </c>
    </row>
    <row r="30" spans="2:16" ht="20.149999999999999" customHeight="1" x14ac:dyDescent="0.45">
      <c r="B30" s="21"/>
      <c r="C30" s="338"/>
      <c r="D30" s="430"/>
      <c r="E30" s="430"/>
      <c r="F30" s="430"/>
      <c r="G30" s="45"/>
      <c r="H30" s="241"/>
      <c r="I30" s="432"/>
      <c r="J30" s="432"/>
      <c r="K30" s="22"/>
      <c r="L30" s="71"/>
      <c r="N30" s="247"/>
      <c r="O30" s="247"/>
      <c r="P30" s="247"/>
    </row>
    <row r="31" spans="2:16" ht="20.149999999999999" customHeight="1" x14ac:dyDescent="0.45">
      <c r="B31" s="21"/>
      <c r="C31" s="338"/>
      <c r="D31" s="69"/>
      <c r="E31" s="69"/>
      <c r="F31" s="69"/>
      <c r="G31" s="45"/>
      <c r="H31" s="241"/>
      <c r="I31" s="322"/>
      <c r="J31" s="322"/>
      <c r="K31" s="22"/>
      <c r="L31" s="71"/>
      <c r="N31" s="247"/>
      <c r="O31" s="247"/>
      <c r="P31" s="247"/>
    </row>
    <row r="32" spans="2:16" ht="20.149999999999999" customHeight="1" x14ac:dyDescent="0.45">
      <c r="B32" s="21"/>
      <c r="C32" s="140"/>
      <c r="D32" s="69"/>
      <c r="E32" s="69"/>
      <c r="F32" s="69"/>
      <c r="G32" s="45"/>
      <c r="H32" s="241"/>
      <c r="I32" s="322"/>
      <c r="J32" s="322"/>
      <c r="K32" s="22"/>
      <c r="L32" s="71"/>
      <c r="N32" s="247"/>
      <c r="O32" s="247"/>
      <c r="P32" s="247"/>
    </row>
    <row r="33" spans="2:16" ht="20.149999999999999" customHeight="1" x14ac:dyDescent="0.45">
      <c r="B33" s="21"/>
      <c r="C33" s="305" t="s">
        <v>1738</v>
      </c>
      <c r="E33" s="69"/>
      <c r="F33" s="69"/>
      <c r="G33" s="99"/>
      <c r="H33" s="65"/>
      <c r="I33" s="65"/>
      <c r="J33" s="65"/>
      <c r="K33" s="22"/>
      <c r="L33" s="71"/>
      <c r="N33" s="247"/>
      <c r="O33" s="247"/>
      <c r="P33" s="247"/>
    </row>
    <row r="34" spans="2:16" ht="20.149999999999999" customHeight="1" x14ac:dyDescent="0.45">
      <c r="B34" s="21"/>
      <c r="C34" s="338" t="s">
        <v>1080</v>
      </c>
      <c r="D34" s="430" t="str">
        <f>VLOOKUP(C34,'Sales Master'!B$3:D$643,2,0)</f>
        <v>Fine Sugar 白糖</v>
      </c>
      <c r="E34" s="430"/>
      <c r="F34" s="430"/>
      <c r="G34" s="99">
        <v>1</v>
      </c>
      <c r="H34" s="206" t="str">
        <f>VLOOKUP(C34,'Sales Master'!B$3:F$936,5,0)</f>
        <v>25 KGS</v>
      </c>
      <c r="I34" s="432" t="str">
        <f>VLOOKUP(C34,'Sales Master'!B$3:E$936,4,0)</f>
        <v>MITR PHOL</v>
      </c>
      <c r="J34" s="432"/>
      <c r="K34" s="22">
        <v>34</v>
      </c>
      <c r="L34" s="98"/>
      <c r="N34" s="258"/>
      <c r="O34" s="258"/>
      <c r="P34" s="258"/>
    </row>
    <row r="35" spans="2:16" ht="20.149999999999999" customHeight="1" thickBot="1" x14ac:dyDescent="0.5">
      <c r="B35" s="24"/>
      <c r="C35" s="25"/>
      <c r="D35" s="473"/>
      <c r="E35" s="473"/>
      <c r="F35" s="473"/>
      <c r="G35" s="25"/>
      <c r="H35" s="66"/>
      <c r="I35" s="66"/>
      <c r="J35" s="66"/>
      <c r="K35" s="26"/>
      <c r="L35" s="27"/>
    </row>
    <row r="36" spans="2:16" ht="20.149999999999999" customHeight="1" thickBot="1" x14ac:dyDescent="0.5">
      <c r="B36" s="28"/>
      <c r="L36" s="29"/>
    </row>
    <row r="37" spans="2:16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474" t="s">
        <v>13</v>
      </c>
      <c r="K37" s="475"/>
      <c r="L37" s="30">
        <f>SUM(L15:L36)</f>
        <v>455.5</v>
      </c>
      <c r="M37" s="95">
        <f>SUM(P17:P35)-L37*0.02</f>
        <v>93.018666666666675</v>
      </c>
      <c r="N37" s="248">
        <f>M37/L37</f>
        <v>0.20421222100256131</v>
      </c>
    </row>
    <row r="38" spans="2:16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0" t="s">
        <v>553</v>
      </c>
      <c r="K38" s="113">
        <v>6.54E-2</v>
      </c>
      <c r="L38" s="32">
        <f>L40</f>
        <v>33.74074074074074</v>
      </c>
    </row>
    <row r="39" spans="2:16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476" t="s">
        <v>555</v>
      </c>
      <c r="K39" s="477"/>
      <c r="L39" s="114">
        <f>L37/108*100</f>
        <v>421.75925925925924</v>
      </c>
      <c r="N39" s="60">
        <v>280.5</v>
      </c>
    </row>
    <row r="40" spans="2:16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1" t="s">
        <v>554</v>
      </c>
      <c r="K40" s="112">
        <v>0.08</v>
      </c>
      <c r="L40" s="44">
        <f>L39*K40</f>
        <v>33.74074074074074</v>
      </c>
      <c r="N40" s="60">
        <v>-18.350000000000001</v>
      </c>
    </row>
    <row r="41" spans="2:16" ht="20.149999999999999" customHeight="1" thickBot="1" x14ac:dyDescent="0.5">
      <c r="B41" s="11" t="s">
        <v>748</v>
      </c>
      <c r="C41" s="10"/>
      <c r="D41" s="10"/>
      <c r="E41" s="10"/>
      <c r="F41" s="10"/>
      <c r="G41" s="10"/>
      <c r="H41" s="10"/>
      <c r="I41" s="10"/>
      <c r="J41" s="478" t="s">
        <v>21</v>
      </c>
      <c r="K41" s="479"/>
      <c r="L41" s="33">
        <f>L39+L40</f>
        <v>455.5</v>
      </c>
      <c r="N41" s="60">
        <f>SUM(N39:N40)</f>
        <v>262.14999999999998</v>
      </c>
    </row>
    <row r="42" spans="2:16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6" ht="20.149999999999999" customHeight="1" x14ac:dyDescent="0.45">
      <c r="B43" s="183" t="s">
        <v>749</v>
      </c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34"/>
      <c r="C47" s="35"/>
      <c r="D47" s="35"/>
      <c r="J47" s="35"/>
      <c r="K47" s="35"/>
      <c r="L47" s="36"/>
    </row>
    <row r="48" spans="2:16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6">
    <mergeCell ref="D24:F24"/>
    <mergeCell ref="I24:J24"/>
    <mergeCell ref="I22:J22"/>
    <mergeCell ref="I27:J27"/>
    <mergeCell ref="D29:F29"/>
    <mergeCell ref="D25:F25"/>
    <mergeCell ref="I29:J29"/>
    <mergeCell ref="I25:J25"/>
    <mergeCell ref="D27:F27"/>
    <mergeCell ref="D19:F19"/>
    <mergeCell ref="I19:J19"/>
    <mergeCell ref="D23:F23"/>
    <mergeCell ref="I23:J23"/>
    <mergeCell ref="D18:F18"/>
    <mergeCell ref="I18:J18"/>
    <mergeCell ref="D21:F21"/>
    <mergeCell ref="D22:F22"/>
    <mergeCell ref="I21:J21"/>
    <mergeCell ref="D20:F20"/>
    <mergeCell ref="I20:J20"/>
    <mergeCell ref="J41:K41"/>
    <mergeCell ref="D35:F35"/>
    <mergeCell ref="J37:K37"/>
    <mergeCell ref="J39:K39"/>
    <mergeCell ref="D26:F26"/>
    <mergeCell ref="I26:J26"/>
    <mergeCell ref="I30:J30"/>
    <mergeCell ref="D34:F34"/>
    <mergeCell ref="I34:J34"/>
    <mergeCell ref="D30:F30"/>
    <mergeCell ref="D28:F28"/>
    <mergeCell ref="I28:J28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33">
    <cfRule type="duplicateValues" dxfId="93" priority="1"/>
  </conditionalFormatting>
  <conditionalFormatting sqref="C34">
    <cfRule type="duplicateValues" dxfId="92" priority="3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4A4F3-26E1-4D14-97B1-8B523588FE3B}">
  <sheetPr codeName="Sheet89">
    <tabColor rgb="FFFFC000"/>
    <pageSetUpPr fitToPage="1"/>
  </sheetPr>
  <dimension ref="B1:P45"/>
  <sheetViews>
    <sheetView topLeftCell="A9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474</v>
      </c>
      <c r="J10" s="17" t="s">
        <v>26</v>
      </c>
      <c r="K10" s="455">
        <v>202310204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信丰                                                        Blk.17, Woodlands Link.                          #01-70  Singapore 738727</v>
      </c>
      <c r="G11" s="445"/>
      <c r="H11" s="446"/>
      <c r="J11" s="18" t="s">
        <v>9</v>
      </c>
      <c r="K11" s="460">
        <v>45208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  <c r="N13" s="60" t="s">
        <v>996</v>
      </c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918</v>
      </c>
      <c r="D18" s="430" t="str">
        <f>VLOOKUP(C18,'Sales Master'!B$3:D$316,2,0)</f>
        <v>Chin Chow 仙草</v>
      </c>
      <c r="E18" s="430"/>
      <c r="F18" s="430"/>
      <c r="G18" s="45">
        <v>4</v>
      </c>
      <c r="H18" s="241" t="str">
        <f>VLOOKUP(C18,'Sales Master'!B$3:F$936,5,0)</f>
        <v>5KGS/PKT</v>
      </c>
      <c r="I18" s="432" t="str">
        <f>VLOOKUP(C18,'Sales Master'!B$3:E$936,4,0)</f>
        <v>TSM</v>
      </c>
      <c r="J18" s="432"/>
      <c r="K18" s="22">
        <f>VLOOKUP(C18,'Sales Master'!B$3:CN$527,58,0)</f>
        <v>5.5</v>
      </c>
      <c r="L18" s="71">
        <f t="shared" ref="L18:L20" si="0">K18*G18</f>
        <v>22</v>
      </c>
      <c r="N18" s="247">
        <f>VLOOKUP(C18,'Sales Master'!$B$3:$FA$3051,156,0)</f>
        <v>4.32</v>
      </c>
      <c r="O18" s="247">
        <f t="shared" ref="O18:O20" si="1">K18-N18</f>
        <v>1.1799999999999997</v>
      </c>
      <c r="P18" s="247">
        <f t="shared" ref="P18:P20" si="2">O18*G18</f>
        <v>4.7199999999999989</v>
      </c>
    </row>
    <row r="19" spans="2:16" ht="20.149999999999999" customHeight="1" x14ac:dyDescent="0.45">
      <c r="B19" s="21"/>
      <c r="C19" s="338" t="s">
        <v>937</v>
      </c>
      <c r="D19" s="430" t="str">
        <f>VLOOKUP(C19,'Sales Master'!B$3:D$622,2,0)</f>
        <v>Green Bean 绿豆</v>
      </c>
      <c r="E19" s="430"/>
      <c r="F19" s="430"/>
      <c r="G19" s="45">
        <v>3</v>
      </c>
      <c r="H19" s="241" t="str">
        <f>VLOOKUP(C19,'Sales Master'!B$3:F$936,5,0)</f>
        <v>5 KGS</v>
      </c>
      <c r="I19" s="432" t="str">
        <f>VLOOKUP(C19,'Sales Master'!B$3:E$936,4,0)</f>
        <v>-</v>
      </c>
      <c r="J19" s="432"/>
      <c r="K19" s="22">
        <f>VLOOKUP(C19,'Sales Master'!B$3:BG$527,58,0)</f>
        <v>14</v>
      </c>
      <c r="L19" s="71">
        <f t="shared" si="0"/>
        <v>42</v>
      </c>
      <c r="N19" s="247">
        <f>VLOOKUP(C19,'Sales Master'!$B$3:$FA$3051,156,0)</f>
        <v>9.7199999999999989</v>
      </c>
      <c r="O19" s="247">
        <f t="shared" si="1"/>
        <v>4.2800000000000011</v>
      </c>
      <c r="P19" s="247">
        <f t="shared" si="2"/>
        <v>12.840000000000003</v>
      </c>
    </row>
    <row r="20" spans="2:16" ht="20.149999999999999" customHeight="1" x14ac:dyDescent="0.45">
      <c r="B20" s="21"/>
      <c r="C20" s="338" t="s">
        <v>957</v>
      </c>
      <c r="D20" s="430" t="str">
        <f>VLOOKUP(C20,'Sales Master'!B$3:D$622,2,0)</f>
        <v>Pearl Barley 薏米</v>
      </c>
      <c r="E20" s="430"/>
      <c r="F20" s="430"/>
      <c r="G20" s="45">
        <v>1</v>
      </c>
      <c r="H20" s="410" t="str">
        <f>VLOOKUP(C20,'Sales Master'!B$3:F$936,5,0)</f>
        <v>25 kgs</v>
      </c>
      <c r="I20" s="432" t="str">
        <f>VLOOKUP(C20,'Sales Master'!B$3:E$936,4,0)</f>
        <v>-</v>
      </c>
      <c r="J20" s="432"/>
      <c r="K20" s="22">
        <f>VLOOKUP(C20,'Sales Master'!B$3:BG$527,58,0)</f>
        <v>45</v>
      </c>
      <c r="L20" s="71">
        <f t="shared" si="0"/>
        <v>45</v>
      </c>
      <c r="N20" s="247">
        <f>VLOOKUP(C20,'Sales Master'!$B$3:$FA$3051,156,0)</f>
        <v>37</v>
      </c>
      <c r="O20" s="247">
        <f t="shared" si="1"/>
        <v>8</v>
      </c>
      <c r="P20" s="247">
        <f t="shared" si="2"/>
        <v>8</v>
      </c>
    </row>
    <row r="21" spans="2:16" ht="20.149999999999999" customHeight="1" x14ac:dyDescent="0.45">
      <c r="B21" s="21"/>
      <c r="C21" s="338"/>
      <c r="D21" s="430"/>
      <c r="E21" s="430"/>
      <c r="F21" s="430"/>
      <c r="G21" s="45"/>
      <c r="H21" s="241"/>
      <c r="I21" s="432"/>
      <c r="J21" s="432"/>
      <c r="K21" s="22"/>
      <c r="L21" s="71"/>
      <c r="N21" s="247"/>
      <c r="O21" s="247"/>
      <c r="P21" s="247"/>
    </row>
    <row r="22" spans="2:16" ht="20.149999999999999" customHeight="1" x14ac:dyDescent="0.45">
      <c r="B22" s="70"/>
      <c r="C22" s="338"/>
      <c r="D22" s="430"/>
      <c r="E22" s="430"/>
      <c r="F22" s="430"/>
      <c r="G22" s="45"/>
      <c r="H22" s="241"/>
      <c r="I22" s="432"/>
      <c r="J22" s="432"/>
      <c r="K22" s="22"/>
      <c r="L22" s="71"/>
      <c r="N22" s="247"/>
      <c r="O22" s="247"/>
      <c r="P22" s="247"/>
    </row>
    <row r="23" spans="2:16" ht="20" customHeight="1" x14ac:dyDescent="0.45">
      <c r="B23" s="318"/>
      <c r="C23" s="45"/>
      <c r="D23" s="430"/>
      <c r="E23" s="430"/>
      <c r="F23" s="430"/>
      <c r="G23" s="45"/>
      <c r="H23" s="241"/>
      <c r="I23" s="432"/>
      <c r="J23" s="432"/>
      <c r="K23" s="22"/>
      <c r="L23" s="71"/>
      <c r="N23" s="247"/>
      <c r="O23" s="247"/>
      <c r="P23" s="247"/>
    </row>
    <row r="24" spans="2:16" ht="20" customHeight="1" x14ac:dyDescent="0.45">
      <c r="B24" s="318"/>
      <c r="D24" s="69"/>
      <c r="E24" s="69"/>
      <c r="F24" s="69"/>
      <c r="G24" s="45"/>
      <c r="H24" s="241"/>
      <c r="I24" s="322"/>
      <c r="J24" s="322"/>
      <c r="K24" s="96"/>
      <c r="L24" s="71"/>
      <c r="N24" s="247"/>
      <c r="O24" s="247"/>
      <c r="P24" s="247"/>
    </row>
    <row r="25" spans="2:16" ht="20.149999999999999" customHeight="1" x14ac:dyDescent="0.45">
      <c r="B25" s="318"/>
      <c r="C25" s="519"/>
      <c r="D25" s="519"/>
      <c r="E25" s="519"/>
      <c r="F25" s="519"/>
      <c r="G25" s="45"/>
      <c r="H25" s="65"/>
      <c r="I25" s="431"/>
      <c r="J25" s="431"/>
      <c r="K25" s="96"/>
      <c r="L25" s="71"/>
    </row>
    <row r="26" spans="2:16" ht="20.149999999999999" customHeight="1" x14ac:dyDescent="0.45">
      <c r="B26" s="70"/>
      <c r="C26" s="338"/>
      <c r="D26" s="430"/>
      <c r="E26" s="430"/>
      <c r="F26" s="430"/>
      <c r="G26" s="45"/>
      <c r="H26" s="241"/>
      <c r="I26" s="432"/>
      <c r="J26" s="432"/>
      <c r="K26" s="96"/>
      <c r="L26" s="71"/>
    </row>
    <row r="27" spans="2:16" ht="20.149999999999999" customHeight="1" x14ac:dyDescent="0.45">
      <c r="B27" s="21"/>
      <c r="C27" s="140"/>
      <c r="G27" s="45"/>
      <c r="H27" s="65"/>
      <c r="I27" s="431"/>
      <c r="J27" s="431"/>
      <c r="K27" s="96"/>
      <c r="L27" s="71"/>
    </row>
    <row r="28" spans="2:16" ht="20.149999999999999" customHeight="1" x14ac:dyDescent="0.45">
      <c r="B28" s="21"/>
      <c r="C28" s="45"/>
      <c r="D28" s="430"/>
      <c r="E28" s="430"/>
      <c r="F28" s="430"/>
      <c r="G28" s="45"/>
      <c r="H28" s="241"/>
      <c r="I28" s="494"/>
      <c r="J28" s="494"/>
      <c r="K28" s="96"/>
      <c r="L28" s="71"/>
    </row>
    <row r="29" spans="2:16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71"/>
    </row>
    <row r="30" spans="2:16" ht="20.149999999999999" customHeight="1" x14ac:dyDescent="0.45">
      <c r="B30" s="21"/>
      <c r="C30" s="45"/>
      <c r="D30" s="430"/>
      <c r="E30" s="430"/>
      <c r="F30" s="430"/>
      <c r="G30" s="45"/>
      <c r="H30" s="65"/>
      <c r="I30" s="431"/>
      <c r="J30" s="431"/>
      <c r="K30" s="22"/>
      <c r="L30" s="71"/>
    </row>
    <row r="31" spans="2:16" ht="20.149999999999999" customHeight="1" thickBot="1" x14ac:dyDescent="0.5">
      <c r="B31" s="24"/>
      <c r="C31" s="25"/>
      <c r="D31" s="473"/>
      <c r="E31" s="473"/>
      <c r="F31" s="473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30">
        <f>SUM(L15:L32)</f>
        <v>109</v>
      </c>
      <c r="M33" s="95">
        <f>SUM(P12:P31)-L33*0.02</f>
        <v>23.380000000000003</v>
      </c>
      <c r="N33" s="248">
        <f>M33/L33</f>
        <v>0.21449541284403673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32">
        <f>L36</f>
        <v>8.0740740740740744</v>
      </c>
    </row>
    <row r="35" spans="2:14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114">
        <f>L33/108*100</f>
        <v>100.92592592592592</v>
      </c>
    </row>
    <row r="36" spans="2:14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0.08</v>
      </c>
      <c r="L36" s="44">
        <f>L35*K36</f>
        <v>8.0740740740740744</v>
      </c>
    </row>
    <row r="37" spans="2:14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78" t="s">
        <v>21</v>
      </c>
      <c r="K37" s="479"/>
      <c r="L37" s="33">
        <f>L35+L36</f>
        <v>109</v>
      </c>
    </row>
    <row r="38" spans="2:14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4" ht="20.149999999999999" customHeight="1" x14ac:dyDescent="0.45">
      <c r="B39" s="183" t="s">
        <v>749</v>
      </c>
      <c r="L39" s="29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34"/>
      <c r="C43" s="35"/>
      <c r="D43" s="35"/>
      <c r="J43" s="35"/>
      <c r="K43" s="35"/>
      <c r="L43" s="36"/>
    </row>
    <row r="44" spans="2:14" ht="20.149999999999999" customHeight="1" x14ac:dyDescent="0.45">
      <c r="B44" s="28" t="s">
        <v>24</v>
      </c>
      <c r="J44" s="60" t="s">
        <v>25</v>
      </c>
      <c r="L44" s="29"/>
    </row>
    <row r="45" spans="2:14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2">
    <mergeCell ref="D29:F29"/>
    <mergeCell ref="I29:J29"/>
    <mergeCell ref="D30:F30"/>
    <mergeCell ref="I30:J30"/>
    <mergeCell ref="J37:K37"/>
    <mergeCell ref="D31:F31"/>
    <mergeCell ref="J33:K33"/>
    <mergeCell ref="J35:K35"/>
    <mergeCell ref="I25:J25"/>
    <mergeCell ref="I26:J26"/>
    <mergeCell ref="I27:J27"/>
    <mergeCell ref="D28:F28"/>
    <mergeCell ref="I28:J28"/>
    <mergeCell ref="C25:F25"/>
    <mergeCell ref="D26:F26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51181102362204722" right="0" top="0.55118110236220474" bottom="0" header="0.31496062992125984" footer="0.31496062992125984"/>
  <pageSetup paperSize="9" scale="80" fitToHeight="0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F5064-DAD8-450E-AFC3-D910D3297949}">
  <sheetPr codeName="Sheet97">
    <tabColor rgb="FFFFC000"/>
    <pageSetUpPr fitToPage="1"/>
  </sheetPr>
  <dimension ref="B1:P49"/>
  <sheetViews>
    <sheetView topLeftCell="B18" zoomScaleNormal="100" workbookViewId="0">
      <selection activeCell="B1" sqref="B1:L4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477</v>
      </c>
      <c r="J10" s="17" t="s">
        <v>26</v>
      </c>
      <c r="K10" s="455">
        <v>202311089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天凉                                                            Blk 120 Bukit Merah Lane 1，       #01-41 Singapore 150120</v>
      </c>
      <c r="G11" s="445"/>
      <c r="H11" s="446"/>
      <c r="J11" s="18" t="s">
        <v>9</v>
      </c>
      <c r="K11" s="460">
        <v>45233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139" t="s">
        <v>620</v>
      </c>
      <c r="L15" s="13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918</v>
      </c>
      <c r="D18" s="430" t="str">
        <f>VLOOKUP(C18,'Sales Master'!B$3:D$644,2,0)</f>
        <v>Chin Chow 仙草</v>
      </c>
      <c r="E18" s="430"/>
      <c r="F18" s="430"/>
      <c r="G18" s="99">
        <v>2</v>
      </c>
      <c r="H18" s="206" t="str">
        <f>VLOOKUP(C18,'Sales Master'!B$3:F$936,5,0)</f>
        <v>5KGS/PKT</v>
      </c>
      <c r="I18" s="432" t="str">
        <f>VLOOKUP(C18,'Sales Master'!B$3:E$936,4,0)</f>
        <v>TSM</v>
      </c>
      <c r="J18" s="432"/>
      <c r="K18" s="22">
        <f>VLOOKUP(C18,'Sales Master'!B$3:CO$527,92,0)</f>
        <v>5.5</v>
      </c>
      <c r="L18" s="71">
        <f t="shared" ref="L18" si="0">K18*G18</f>
        <v>11</v>
      </c>
      <c r="N18" s="247">
        <f>VLOOKUP(C18,'Sales Master'!$B$3:$FA$3051,156,0)</f>
        <v>4.32</v>
      </c>
      <c r="O18" s="247">
        <f t="shared" ref="O18" si="1">K18-N18</f>
        <v>1.1799999999999997</v>
      </c>
      <c r="P18" s="247">
        <f t="shared" ref="P18" si="2">O18*G18</f>
        <v>2.3599999999999994</v>
      </c>
    </row>
    <row r="19" spans="2:16" ht="20.149999999999999" customHeight="1" x14ac:dyDescent="0.45">
      <c r="B19" s="21"/>
      <c r="C19" s="338" t="s">
        <v>924</v>
      </c>
      <c r="D19" s="430" t="str">
        <f>VLOOKUP(C19,'Sales Master'!B$3:D$644,2,0)</f>
        <v>Red Bean 红豆</v>
      </c>
      <c r="E19" s="430"/>
      <c r="F19" s="430"/>
      <c r="G19" s="99">
        <v>1</v>
      </c>
      <c r="H19" s="313" t="str">
        <f>VLOOKUP(C19,'Sales Master'!B$3:F$936,5,0)</f>
        <v>5 kgs</v>
      </c>
      <c r="I19" s="432" t="str">
        <f>VLOOKUP(C19,'Sales Master'!B$3:E$936,4,0)</f>
        <v>-</v>
      </c>
      <c r="J19" s="432"/>
      <c r="K19" s="22">
        <f>VLOOKUP(C19,'Sales Master'!B$3:CO$527,92,0)</f>
        <v>19</v>
      </c>
      <c r="L19" s="71">
        <f t="shared" ref="L19" si="3">K19*G19</f>
        <v>19</v>
      </c>
      <c r="N19" s="247">
        <f>VLOOKUP(C19,'Sales Master'!$B$3:$FA$3051,156,0)</f>
        <v>13.5</v>
      </c>
      <c r="O19" s="247">
        <f t="shared" ref="O19" si="4">K19-N19</f>
        <v>5.5</v>
      </c>
      <c r="P19" s="247">
        <f t="shared" ref="P19" si="5">O19*G19</f>
        <v>5.5</v>
      </c>
    </row>
    <row r="20" spans="2:16" ht="20.149999999999999" customHeight="1" x14ac:dyDescent="0.45">
      <c r="B20" s="21"/>
      <c r="C20" s="338" t="s">
        <v>961</v>
      </c>
      <c r="D20" s="430" t="str">
        <f>VLOOKUP(C20,'Sales Master'!B$3:D$644,2,0)</f>
        <v>Big Sago 大丸</v>
      </c>
      <c r="E20" s="430"/>
      <c r="F20" s="430"/>
      <c r="G20" s="99">
        <v>1</v>
      </c>
      <c r="H20" s="313" t="str">
        <f>VLOOKUP(C20,'Sales Master'!B$3:F$936,5,0)</f>
        <v>5 kgs</v>
      </c>
      <c r="I20" s="432" t="str">
        <f>VLOOKUP(C20,'Sales Master'!B$3:E$936,4,0)</f>
        <v>SW</v>
      </c>
      <c r="J20" s="432"/>
      <c r="K20" s="22">
        <f>VLOOKUP(C20,'Sales Master'!B$3:CO$527,92,0)</f>
        <v>11.5</v>
      </c>
      <c r="L20" s="71">
        <f t="shared" ref="L20" si="6">K20*G20</f>
        <v>11.5</v>
      </c>
      <c r="N20" s="247">
        <f>VLOOKUP(C20,'Sales Master'!$B$3:$FA$3051,156,0)</f>
        <v>8.1666666666666661</v>
      </c>
      <c r="O20" s="247">
        <f t="shared" ref="O20" si="7">K20-N20</f>
        <v>3.3333333333333339</v>
      </c>
      <c r="P20" s="247">
        <f t="shared" ref="P20" si="8">O20*G20</f>
        <v>3.3333333333333339</v>
      </c>
    </row>
    <row r="21" spans="2:16" ht="20.149999999999999" customHeight="1" x14ac:dyDescent="0.45">
      <c r="B21" s="70"/>
      <c r="C21" s="338" t="s">
        <v>1020</v>
      </c>
      <c r="D21" s="430" t="str">
        <f>VLOOKUP(C21,'Sales Master'!B$3:D$644,2,0)</f>
        <v>Sea Coconut 海底椰</v>
      </c>
      <c r="E21" s="430"/>
      <c r="F21" s="430"/>
      <c r="G21" s="99">
        <v>2</v>
      </c>
      <c r="H21" s="313" t="str">
        <f>VLOOKUP(C21,'Sales Master'!B$3:F$936,5,0)</f>
        <v>1 Can X A10</v>
      </c>
      <c r="I21" s="432" t="str">
        <f>VLOOKUP(C21,'Sales Master'!B$3:E$936,4,0)</f>
        <v>Chefs</v>
      </c>
      <c r="J21" s="432"/>
      <c r="K21" s="22">
        <f>VLOOKUP(C21,'Sales Master'!B$3:CO$527,92,0)</f>
        <v>19</v>
      </c>
      <c r="L21" s="71">
        <f>K21*G21</f>
        <v>38</v>
      </c>
      <c r="N21" s="247">
        <f>VLOOKUP(C21,'Sales Master'!$B$3:$FA$3051,156,0)</f>
        <v>14.333333333333334</v>
      </c>
      <c r="O21" s="247">
        <f>K21-N21</f>
        <v>4.6666666666666661</v>
      </c>
      <c r="P21" s="247">
        <f>O21*G21</f>
        <v>9.3333333333333321</v>
      </c>
    </row>
    <row r="22" spans="2:16" ht="20.149999999999999" customHeight="1" x14ac:dyDescent="0.45">
      <c r="B22" s="21"/>
      <c r="C22" s="338" t="s">
        <v>1093</v>
      </c>
      <c r="D22" s="430" t="str">
        <f>VLOOKUP(C22,'Sales Master'!B$3:D$644,2,0)</f>
        <v>Sweet Potato 番薯</v>
      </c>
      <c r="E22" s="430"/>
      <c r="F22" s="430"/>
      <c r="G22" s="99">
        <v>10</v>
      </c>
      <c r="H22" s="313" t="str">
        <f>VLOOKUP(C22,'Sales Master'!B$3:F$936,5,0)</f>
        <v>1 KG</v>
      </c>
      <c r="I22" s="432" t="str">
        <f>VLOOKUP(C22,'Sales Master'!B$3:E$936,4,0)</f>
        <v>Malaysia</v>
      </c>
      <c r="J22" s="432"/>
      <c r="K22" s="22">
        <f>VLOOKUP(C22,'Sales Master'!B$3:CO$527,92,0)</f>
        <v>2.6</v>
      </c>
      <c r="L22" s="71">
        <f>K22*G22</f>
        <v>26</v>
      </c>
      <c r="N22" s="247">
        <f>VLOOKUP(C22,'Sales Master'!$B$3:$FA$3051,156,0)</f>
        <v>1.75</v>
      </c>
      <c r="O22" s="247">
        <f>K22-N22</f>
        <v>0.85000000000000009</v>
      </c>
      <c r="P22" s="247">
        <f>O22*G22</f>
        <v>8.5</v>
      </c>
    </row>
    <row r="23" spans="2:16" ht="20.149999999999999" customHeight="1" x14ac:dyDescent="0.45">
      <c r="B23" s="21"/>
      <c r="C23" s="338"/>
      <c r="D23" s="430"/>
      <c r="E23" s="430"/>
      <c r="F23" s="430"/>
      <c r="G23" s="99"/>
      <c r="H23" s="313"/>
      <c r="I23" s="432"/>
      <c r="J23" s="432"/>
      <c r="K23" s="22"/>
      <c r="L23" s="71"/>
      <c r="N23" s="247"/>
      <c r="O23" s="247"/>
      <c r="P23" s="247"/>
    </row>
    <row r="24" spans="2:16" ht="20.149999999999999" customHeight="1" x14ac:dyDescent="0.45">
      <c r="B24" s="21"/>
      <c r="C24" s="338"/>
      <c r="D24" s="430"/>
      <c r="E24" s="430"/>
      <c r="F24" s="430"/>
      <c r="G24" s="99"/>
      <c r="H24" s="313"/>
      <c r="I24" s="432"/>
      <c r="J24" s="432"/>
      <c r="K24" s="22"/>
      <c r="L24" s="71"/>
      <c r="N24" s="247"/>
      <c r="O24" s="247"/>
      <c r="P24" s="247"/>
    </row>
    <row r="25" spans="2:16" ht="20.149999999999999" customHeight="1" x14ac:dyDescent="0.45">
      <c r="B25" s="21"/>
      <c r="C25" s="338"/>
      <c r="D25" s="430"/>
      <c r="E25" s="430"/>
      <c r="F25" s="430"/>
      <c r="G25" s="99"/>
      <c r="H25" s="313"/>
      <c r="I25" s="432"/>
      <c r="J25" s="432"/>
      <c r="K25" s="22"/>
      <c r="L25" s="71"/>
      <c r="N25" s="247"/>
      <c r="O25" s="247"/>
      <c r="P25" s="247"/>
    </row>
    <row r="26" spans="2:16" ht="20.149999999999999" customHeight="1" x14ac:dyDescent="0.45">
      <c r="B26" s="21"/>
      <c r="C26" s="338"/>
      <c r="D26" s="430"/>
      <c r="E26" s="430"/>
      <c r="F26" s="430"/>
      <c r="G26" s="99"/>
      <c r="H26" s="313"/>
      <c r="I26" s="432"/>
      <c r="J26" s="432"/>
      <c r="K26" s="22"/>
      <c r="L26" s="71"/>
      <c r="N26" s="247"/>
      <c r="O26" s="247"/>
      <c r="P26" s="247"/>
    </row>
    <row r="27" spans="2:16" ht="20.149999999999999" customHeight="1" x14ac:dyDescent="0.45">
      <c r="B27" s="21"/>
      <c r="C27" s="338"/>
      <c r="D27" s="430"/>
      <c r="E27" s="430"/>
      <c r="F27" s="430"/>
      <c r="G27" s="99"/>
      <c r="H27" s="313"/>
      <c r="I27" s="432"/>
      <c r="J27" s="432"/>
      <c r="K27" s="22"/>
      <c r="L27" s="71"/>
      <c r="N27" s="247"/>
      <c r="O27" s="247"/>
      <c r="P27" s="247"/>
    </row>
    <row r="28" spans="2:16" ht="20.149999999999999" customHeight="1" x14ac:dyDescent="0.45">
      <c r="B28" s="21"/>
      <c r="C28" s="338"/>
      <c r="D28" s="69"/>
      <c r="E28" s="69"/>
      <c r="F28" s="69"/>
      <c r="G28" s="99"/>
      <c r="H28" s="313"/>
      <c r="I28" s="322"/>
      <c r="J28" s="322"/>
      <c r="K28" s="22"/>
      <c r="L28" s="71"/>
      <c r="N28" s="247"/>
      <c r="O28" s="247"/>
      <c r="P28" s="247"/>
    </row>
    <row r="29" spans="2:16" ht="20.149999999999999" customHeight="1" x14ac:dyDescent="0.45">
      <c r="B29" s="21"/>
      <c r="C29" s="69"/>
      <c r="G29" s="99"/>
      <c r="H29" s="65"/>
      <c r="I29" s="65"/>
      <c r="J29" s="65"/>
      <c r="K29" s="96"/>
      <c r="L29" s="71"/>
      <c r="N29" s="247"/>
      <c r="O29" s="247"/>
      <c r="P29" s="247"/>
    </row>
    <row r="30" spans="2:16" ht="20.149999999999999" customHeight="1" x14ac:dyDescent="0.45">
      <c r="B30" s="21"/>
      <c r="C30" s="305" t="s">
        <v>1740</v>
      </c>
      <c r="E30" s="69"/>
      <c r="F30" s="69"/>
      <c r="G30" s="99"/>
      <c r="H30" s="65"/>
      <c r="I30" s="65"/>
      <c r="J30" s="65"/>
      <c r="K30" s="22"/>
      <c r="L30" s="71"/>
      <c r="N30" s="247"/>
      <c r="O30" s="247"/>
      <c r="P30" s="247"/>
    </row>
    <row r="31" spans="2:16" ht="20.149999999999999" customHeight="1" x14ac:dyDescent="0.45">
      <c r="B31" s="21"/>
      <c r="C31" s="338" t="s">
        <v>1080</v>
      </c>
      <c r="D31" s="430" t="str">
        <f>VLOOKUP(C31,'Sales Master'!B$3:D$643,2,0)</f>
        <v>Fine Sugar 白糖</v>
      </c>
      <c r="E31" s="430"/>
      <c r="F31" s="430"/>
      <c r="G31" s="99">
        <v>1</v>
      </c>
      <c r="H31" s="206" t="str">
        <f>VLOOKUP(C31,'Sales Master'!B$3:F$936,5,0)</f>
        <v>25 KGS</v>
      </c>
      <c r="I31" s="432" t="str">
        <f>VLOOKUP(C31,'Sales Master'!B$3:E$936,4,0)</f>
        <v>MITR PHOL</v>
      </c>
      <c r="J31" s="432"/>
      <c r="K31" s="22">
        <v>34</v>
      </c>
      <c r="L31" s="71"/>
      <c r="N31" s="247"/>
      <c r="O31" s="247"/>
      <c r="P31" s="247"/>
    </row>
    <row r="32" spans="2:16" ht="20.149999999999999" customHeight="1" x14ac:dyDescent="0.45">
      <c r="B32" s="21"/>
      <c r="C32" s="45"/>
      <c r="D32" s="430"/>
      <c r="E32" s="430"/>
      <c r="F32" s="430"/>
      <c r="G32" s="99"/>
      <c r="H32" s="241"/>
      <c r="I32" s="432"/>
      <c r="J32" s="432"/>
      <c r="K32" s="22"/>
      <c r="L32" s="71"/>
    </row>
    <row r="33" spans="2:14" ht="20.149999999999999" customHeight="1" x14ac:dyDescent="0.45">
      <c r="B33" s="21"/>
      <c r="C33" s="45"/>
      <c r="D33" s="430"/>
      <c r="E33" s="430"/>
      <c r="F33" s="430"/>
      <c r="G33" s="99"/>
      <c r="H33" s="206"/>
      <c r="I33" s="432"/>
      <c r="J33" s="432"/>
      <c r="K33" s="22"/>
      <c r="L33" s="71"/>
    </row>
    <row r="34" spans="2:14" ht="20.149999999999999" customHeight="1" thickBot="1" x14ac:dyDescent="0.5">
      <c r="B34" s="24"/>
      <c r="C34" s="25"/>
      <c r="D34" s="473"/>
      <c r="E34" s="473"/>
      <c r="F34" s="473"/>
      <c r="G34" s="25"/>
      <c r="H34" s="66"/>
      <c r="I34" s="66"/>
      <c r="J34" s="66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474" t="s">
        <v>13</v>
      </c>
      <c r="K36" s="475"/>
      <c r="L36" s="30">
        <f>SUM(L16:L35)</f>
        <v>105.5</v>
      </c>
      <c r="M36" s="95">
        <f>SUM(P18:P34)-L36*0.02</f>
        <v>26.916666666666664</v>
      </c>
      <c r="N36" s="405">
        <f>M36-L37</f>
        <v>19.101851851851848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0" t="s">
        <v>553</v>
      </c>
      <c r="K37" s="113">
        <v>6.54E-2</v>
      </c>
      <c r="L37" s="32">
        <f>L39</f>
        <v>7.8148148148148158</v>
      </c>
    </row>
    <row r="38" spans="2:14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476" t="s">
        <v>555</v>
      </c>
      <c r="K38" s="477"/>
      <c r="L38" s="114">
        <f>L36/108*100</f>
        <v>97.68518518518519</v>
      </c>
    </row>
    <row r="39" spans="2:14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1" t="s">
        <v>554</v>
      </c>
      <c r="K39" s="112">
        <v>0.08</v>
      </c>
      <c r="L39" s="44">
        <f>L38*K39</f>
        <v>7.8148148148148158</v>
      </c>
    </row>
    <row r="40" spans="2:14" ht="20.149999999999999" customHeight="1" thickBot="1" x14ac:dyDescent="0.5">
      <c r="B40" s="11" t="s">
        <v>748</v>
      </c>
      <c r="C40" s="10"/>
      <c r="D40" s="10"/>
      <c r="E40" s="10"/>
      <c r="F40" s="10"/>
      <c r="G40" s="10"/>
      <c r="H40" s="10"/>
      <c r="I40" s="10"/>
      <c r="J40" s="478" t="s">
        <v>21</v>
      </c>
      <c r="K40" s="479"/>
      <c r="L40" s="33">
        <f>L38+L39</f>
        <v>105.5</v>
      </c>
    </row>
    <row r="41" spans="2:14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J41" s="245"/>
      <c r="K41" s="243"/>
      <c r="L41" s="29"/>
    </row>
    <row r="42" spans="2:14" ht="20.149999999999999" customHeight="1" x14ac:dyDescent="0.45">
      <c r="B42" s="183" t="s">
        <v>749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63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24</v>
      </c>
      <c r="J47" s="60" t="s">
        <v>25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317"/>
    </row>
  </sheetData>
  <mergeCells count="44">
    <mergeCell ref="D20:F20"/>
    <mergeCell ref="I20:J20"/>
    <mergeCell ref="D31:F31"/>
    <mergeCell ref="I25:J25"/>
    <mergeCell ref="I31:J31"/>
    <mergeCell ref="D22:F22"/>
    <mergeCell ref="D23:F23"/>
    <mergeCell ref="I23:J23"/>
    <mergeCell ref="I22:J22"/>
    <mergeCell ref="I27:J27"/>
    <mergeCell ref="D25:F25"/>
    <mergeCell ref="D27:F27"/>
    <mergeCell ref="K13:L13"/>
    <mergeCell ref="B14:D14"/>
    <mergeCell ref="K14:L14"/>
    <mergeCell ref="B15:D15"/>
    <mergeCell ref="J40:K40"/>
    <mergeCell ref="D34:F34"/>
    <mergeCell ref="J36:K36"/>
    <mergeCell ref="J38:K38"/>
    <mergeCell ref="D33:F33"/>
    <mergeCell ref="I33:J33"/>
    <mergeCell ref="D32:F32"/>
    <mergeCell ref="I32:J32"/>
    <mergeCell ref="D19:F19"/>
    <mergeCell ref="I19:J19"/>
    <mergeCell ref="D24:F24"/>
    <mergeCell ref="I24:J24"/>
    <mergeCell ref="B1:L8"/>
    <mergeCell ref="D26:F26"/>
    <mergeCell ref="I26:J26"/>
    <mergeCell ref="D21:F21"/>
    <mergeCell ref="I21:J21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</mergeCells>
  <conditionalFormatting sqref="C29">
    <cfRule type="duplicateValues" dxfId="91" priority="5"/>
  </conditionalFormatting>
  <conditionalFormatting sqref="C30">
    <cfRule type="duplicateValues" dxfId="90" priority="1"/>
  </conditionalFormatting>
  <conditionalFormatting sqref="C31">
    <cfRule type="duplicateValues" dxfId="89" priority="2"/>
  </conditionalFormatting>
  <conditionalFormatting sqref="C32">
    <cfRule type="duplicateValues" dxfId="88" priority="4"/>
  </conditionalFormatting>
  <conditionalFormatting sqref="C33">
    <cfRule type="duplicateValues" dxfId="87" priority="139"/>
  </conditionalFormatting>
  <pageMargins left="0.70866141732283472" right="0.31496062992125984" top="0.23622047244094491" bottom="0.23622047244094491" header="0.31496062992125984" footer="0.23622047244094491"/>
  <pageSetup paperSize="9" scale="75" fitToHeight="0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C1586-1186-4266-B26C-679950984ADC}">
  <sheetPr codeName="Sheet58">
    <tabColor rgb="FFFFC000"/>
    <pageSetUpPr fitToPage="1"/>
  </sheetPr>
  <dimension ref="B1:P50"/>
  <sheetViews>
    <sheetView topLeftCell="A15" zoomScaleNormal="100" workbookViewId="0">
      <selection activeCell="H25" sqref="H2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21" customHeight="1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478</v>
      </c>
      <c r="J10" s="17" t="s">
        <v>26</v>
      </c>
      <c r="K10" s="455">
        <v>202309344</v>
      </c>
      <c r="L10" s="456"/>
      <c r="N10" s="172" t="s">
        <v>1237</v>
      </c>
    </row>
    <row r="11" spans="2:14" ht="20.149999999999999" customHeight="1" x14ac:dyDescent="0.45">
      <c r="B11" s="457" t="s">
        <v>585</v>
      </c>
      <c r="C11" s="458"/>
      <c r="D11" s="459"/>
      <c r="E11" s="61"/>
      <c r="F11" s="444" t="str">
        <f>VLOOKUP(H10,'Delivery Location'!A$4:N$423,2,0)</f>
        <v>Anglo-Chinese School                                            121, Dover Road. Singapore 139656</v>
      </c>
      <c r="G11" s="445"/>
      <c r="H11" s="446"/>
      <c r="J11" s="18" t="s">
        <v>9</v>
      </c>
      <c r="K11" s="460">
        <v>45183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821</v>
      </c>
      <c r="D18" s="430" t="str">
        <f>VLOOKUP(C18,'Sales Master'!B$3:D$644,2,0)</f>
        <v>Mango Puree 芒果浆</v>
      </c>
      <c r="E18" s="430"/>
      <c r="F18" s="430"/>
      <c r="G18" s="45">
        <v>4</v>
      </c>
      <c r="H18" s="241" t="str">
        <f>VLOOKUP(C18,'Sales Master'!B$3:F$936,5,0)</f>
        <v>Box/盒</v>
      </c>
      <c r="I18" s="494" t="str">
        <f>VLOOKUP(C18,'Sales Master'!B$3:E$936,4,0)</f>
        <v>DO!</v>
      </c>
      <c r="J18" s="494"/>
      <c r="K18" s="22">
        <f>VLOOKUP(C18,'Sales Master'!B$3:CU$536,98,0)</f>
        <v>8</v>
      </c>
      <c r="L18" s="23">
        <f t="shared" ref="L18:L21" si="0">K18*G18</f>
        <v>32</v>
      </c>
      <c r="N18" s="247">
        <f>VLOOKUP(C18,'Sales Master'!$B$3:$FA$3051,156,0)</f>
        <v>2.15</v>
      </c>
      <c r="O18" s="247">
        <f t="shared" ref="O18:O21" si="1">K18-N18</f>
        <v>5.85</v>
      </c>
      <c r="P18" s="247">
        <f t="shared" ref="P18:P21" si="2">O18*G18</f>
        <v>23.4</v>
      </c>
    </row>
    <row r="19" spans="2:16" ht="20.149999999999999" customHeight="1" x14ac:dyDescent="0.45">
      <c r="B19" s="21"/>
      <c r="C19" s="338" t="s">
        <v>822</v>
      </c>
      <c r="D19" s="430" t="str">
        <f>VLOOKUP(C19,'Sales Master'!B$3:D$644,2,0)</f>
        <v>Strawberry Puree 草莓</v>
      </c>
      <c r="E19" s="430"/>
      <c r="F19" s="430"/>
      <c r="G19" s="45">
        <v>2</v>
      </c>
      <c r="H19" s="241" t="str">
        <f>VLOOKUP(C19,'Sales Master'!B$3:F$936,5,0)</f>
        <v>Box/盒</v>
      </c>
      <c r="I19" s="494" t="str">
        <f>VLOOKUP(C19,'Sales Master'!B$3:E$936,4,0)</f>
        <v>DO!</v>
      </c>
      <c r="J19" s="494"/>
      <c r="K19" s="22">
        <f>VLOOKUP(C19,'Sales Master'!B$3:CU$536,98,0)</f>
        <v>10</v>
      </c>
      <c r="L19" s="23">
        <f t="shared" si="0"/>
        <v>20</v>
      </c>
      <c r="N19" s="247">
        <f>VLOOKUP(C19,'Sales Master'!$B$3:$FA$3051,156,0)</f>
        <v>4.68</v>
      </c>
      <c r="O19" s="247">
        <f t="shared" si="1"/>
        <v>5.32</v>
      </c>
      <c r="P19" s="247">
        <f t="shared" si="2"/>
        <v>10.64</v>
      </c>
    </row>
    <row r="20" spans="2:16" ht="20.149999999999999" customHeight="1" x14ac:dyDescent="0.45">
      <c r="B20" s="21"/>
      <c r="C20" s="338" t="s">
        <v>918</v>
      </c>
      <c r="D20" s="430" t="str">
        <f>VLOOKUP(C20,'Sales Master'!B$3:D$644,2,0)</f>
        <v>Chin Chow 仙草</v>
      </c>
      <c r="E20" s="430"/>
      <c r="F20" s="430"/>
      <c r="G20" s="45">
        <v>2</v>
      </c>
      <c r="H20" s="241" t="str">
        <f>VLOOKUP(C20,'Sales Master'!B$3:F$936,5,0)</f>
        <v>5KGS/PKT</v>
      </c>
      <c r="I20" s="494" t="str">
        <f>VLOOKUP(C20,'Sales Master'!B$3:E$936,4,0)</f>
        <v>TSM</v>
      </c>
      <c r="J20" s="494"/>
      <c r="K20" s="22">
        <f>VLOOKUP(C20,'Sales Master'!B$3:CU$536,98,0)</f>
        <v>5.5</v>
      </c>
      <c r="L20" s="23">
        <f t="shared" si="0"/>
        <v>11</v>
      </c>
      <c r="N20" s="247">
        <f>VLOOKUP(C20,'Sales Master'!$B$3:$FA$3051,156,0)</f>
        <v>4.32</v>
      </c>
      <c r="O20" s="247">
        <f t="shared" si="1"/>
        <v>1.1799999999999997</v>
      </c>
      <c r="P20" s="247">
        <f t="shared" si="2"/>
        <v>2.3599999999999994</v>
      </c>
    </row>
    <row r="21" spans="2:16" ht="19.5" customHeight="1" x14ac:dyDescent="0.45">
      <c r="B21" s="21"/>
      <c r="C21" s="338" t="s">
        <v>1080</v>
      </c>
      <c r="D21" s="430" t="str">
        <f>VLOOKUP(C21,'Sales Master'!B$3:D$644,2,0)</f>
        <v>Fine Sugar 白糖</v>
      </c>
      <c r="E21" s="430"/>
      <c r="F21" s="430"/>
      <c r="G21" s="45">
        <v>1</v>
      </c>
      <c r="H21" s="241" t="str">
        <f>VLOOKUP(C21,'Sales Master'!B$3:F$936,5,0)</f>
        <v>25 KGS</v>
      </c>
      <c r="I21" s="494" t="str">
        <f>VLOOKUP(C21,'Sales Master'!B$3:E$936,4,0)</f>
        <v>MITR PHOL</v>
      </c>
      <c r="J21" s="494"/>
      <c r="K21" s="22">
        <f>VLOOKUP(C21,'Sales Master'!B$3:CU$536,98,0)</f>
        <v>33</v>
      </c>
      <c r="L21" s="23">
        <f t="shared" si="0"/>
        <v>33</v>
      </c>
      <c r="N21" s="247">
        <f>VLOOKUP(C21,'Sales Master'!$B$3:$FA$3051,156,0)</f>
        <v>26.784000000000002</v>
      </c>
      <c r="O21" s="247">
        <f t="shared" si="1"/>
        <v>6.2159999999999975</v>
      </c>
      <c r="P21" s="247">
        <f t="shared" si="2"/>
        <v>6.2159999999999975</v>
      </c>
    </row>
    <row r="22" spans="2:16" ht="20.149999999999999" customHeight="1" x14ac:dyDescent="0.45">
      <c r="B22" s="21"/>
      <c r="C22" s="338"/>
      <c r="D22" s="430"/>
      <c r="E22" s="430"/>
      <c r="F22" s="430"/>
      <c r="G22" s="45"/>
      <c r="H22" s="241"/>
      <c r="I22" s="494"/>
      <c r="J22" s="494"/>
      <c r="K22" s="22"/>
      <c r="L22" s="23"/>
      <c r="N22" s="247"/>
      <c r="O22" s="247"/>
      <c r="P22" s="247"/>
    </row>
    <row r="23" spans="2:16" ht="20.149999999999999" customHeight="1" x14ac:dyDescent="0.45">
      <c r="B23" s="21"/>
      <c r="C23" s="338"/>
      <c r="D23" s="430"/>
      <c r="E23" s="430"/>
      <c r="F23" s="430"/>
      <c r="G23" s="45"/>
      <c r="H23" s="241"/>
      <c r="I23" s="494"/>
      <c r="J23" s="494"/>
      <c r="K23" s="22"/>
      <c r="L23" s="23"/>
      <c r="N23" s="247"/>
      <c r="O23" s="247"/>
      <c r="P23" s="247"/>
    </row>
    <row r="24" spans="2:16" ht="20.149999999999999" customHeight="1" x14ac:dyDescent="0.45">
      <c r="B24" s="21"/>
      <c r="C24" s="338"/>
      <c r="D24" s="430"/>
      <c r="E24" s="430"/>
      <c r="F24" s="430"/>
      <c r="G24" s="45"/>
      <c r="H24" s="241"/>
      <c r="I24" s="494"/>
      <c r="J24" s="494"/>
      <c r="K24" s="22"/>
      <c r="L24" s="23"/>
      <c r="N24" s="247"/>
      <c r="O24" s="247"/>
      <c r="P24" s="247"/>
    </row>
    <row r="25" spans="2:16" ht="20.149999999999999" customHeight="1" x14ac:dyDescent="0.45">
      <c r="B25" s="21"/>
      <c r="C25" s="338"/>
      <c r="D25" s="430"/>
      <c r="E25" s="430"/>
      <c r="F25" s="430"/>
      <c r="G25" s="45"/>
      <c r="H25" s="241"/>
      <c r="I25" s="494"/>
      <c r="J25" s="494"/>
      <c r="K25" s="22"/>
      <c r="L25" s="23"/>
      <c r="N25" s="247"/>
      <c r="O25" s="247"/>
      <c r="P25" s="247"/>
    </row>
    <row r="26" spans="2:16" ht="20.149999999999999" customHeight="1" x14ac:dyDescent="0.45">
      <c r="B26" s="21"/>
      <c r="C26" s="45"/>
      <c r="D26" s="430"/>
      <c r="E26" s="430"/>
      <c r="F26" s="430"/>
      <c r="G26" s="45"/>
      <c r="H26" s="241"/>
      <c r="I26" s="494"/>
      <c r="J26" s="494"/>
      <c r="K26" s="22"/>
      <c r="L26" s="23"/>
      <c r="N26" s="247"/>
      <c r="O26" s="247"/>
      <c r="P26" s="247"/>
    </row>
    <row r="27" spans="2:16" ht="20.149999999999999" customHeight="1" x14ac:dyDescent="0.45">
      <c r="B27" s="21"/>
      <c r="D27" s="69"/>
      <c r="E27" s="69"/>
      <c r="F27" s="69"/>
      <c r="G27" s="45"/>
      <c r="H27" s="65"/>
      <c r="I27" s="65"/>
      <c r="J27" s="65"/>
      <c r="K27" s="22"/>
      <c r="L27" s="23"/>
      <c r="N27" s="247"/>
      <c r="O27" s="247"/>
      <c r="P27" s="247"/>
    </row>
    <row r="28" spans="2:16" ht="20.149999999999999" customHeight="1" x14ac:dyDescent="0.45">
      <c r="B28" s="21"/>
      <c r="C28" s="305" t="s">
        <v>1348</v>
      </c>
      <c r="E28" s="69"/>
      <c r="F28" s="69"/>
      <c r="G28" s="99"/>
      <c r="H28" s="65"/>
      <c r="I28" s="65"/>
      <c r="J28" s="65"/>
      <c r="K28" s="22"/>
      <c r="L28" s="23"/>
    </row>
    <row r="29" spans="2:16" ht="20.149999999999999" customHeight="1" x14ac:dyDescent="0.45">
      <c r="B29" s="21"/>
      <c r="C29" s="338" t="s">
        <v>1080</v>
      </c>
      <c r="D29" s="430" t="str">
        <f>VLOOKUP(C29,'Sales Master'!B$3:D$643,2,0)</f>
        <v>Fine Sugar 白糖</v>
      </c>
      <c r="E29" s="430"/>
      <c r="F29" s="430"/>
      <c r="G29" s="99">
        <v>1</v>
      </c>
      <c r="H29" s="241" t="str">
        <f>VLOOKUP(C29,'Sales Master'!B$3:F$936,5,0)</f>
        <v>25 KGS</v>
      </c>
      <c r="I29" s="432" t="str">
        <f>VLOOKUP(C29,'Sales Master'!B$3:E$936,4,0)</f>
        <v>MITR PHOL</v>
      </c>
      <c r="J29" s="432"/>
      <c r="K29" s="22">
        <v>33</v>
      </c>
      <c r="L29" s="131"/>
    </row>
    <row r="30" spans="2:16" ht="20.149999999999999" customHeight="1" x14ac:dyDescent="0.45">
      <c r="B30" s="21"/>
      <c r="C30" s="69"/>
      <c r="D30" s="430"/>
      <c r="E30" s="430"/>
      <c r="F30" s="430"/>
      <c r="G30" s="99"/>
      <c r="H30" s="241"/>
      <c r="I30" s="432"/>
      <c r="J30" s="432"/>
      <c r="K30" s="22"/>
      <c r="L30" s="131"/>
    </row>
    <row r="31" spans="2:16" ht="20.149999999999999" customHeight="1" x14ac:dyDescent="0.45">
      <c r="B31" s="21"/>
      <c r="C31" s="140"/>
      <c r="G31" s="99"/>
      <c r="H31" s="65"/>
      <c r="I31" s="65"/>
      <c r="J31" s="65"/>
      <c r="K31" s="96"/>
      <c r="L31" s="131"/>
    </row>
    <row r="32" spans="2:16" ht="20.149999999999999" customHeight="1" x14ac:dyDescent="0.45">
      <c r="B32" s="21"/>
      <c r="C32" s="12" t="s">
        <v>1236</v>
      </c>
      <c r="G32" s="99"/>
      <c r="H32" s="65"/>
      <c r="I32" s="206"/>
      <c r="J32" s="206"/>
      <c r="K32" s="96"/>
      <c r="L32" s="131"/>
    </row>
    <row r="33" spans="2:13" ht="20.149999999999999" customHeight="1" x14ac:dyDescent="0.45">
      <c r="B33" s="21"/>
      <c r="C33" s="69" t="s">
        <v>1320</v>
      </c>
      <c r="G33" s="99"/>
      <c r="H33" s="65"/>
      <c r="I33" s="206"/>
      <c r="J33" s="206"/>
      <c r="K33" s="96"/>
      <c r="L33" s="23"/>
    </row>
    <row r="34" spans="2:13" ht="20.149999999999999" customHeight="1" x14ac:dyDescent="0.45">
      <c r="B34" s="21"/>
      <c r="C34" s="69" t="s">
        <v>1317</v>
      </c>
      <c r="G34" s="99"/>
      <c r="H34" s="65"/>
      <c r="I34" s="65"/>
      <c r="J34" s="65"/>
      <c r="K34" s="96"/>
      <c r="L34" s="23"/>
    </row>
    <row r="35" spans="2:13" ht="20.149999999999999" customHeight="1" x14ac:dyDescent="0.45">
      <c r="B35" s="21"/>
      <c r="C35" s="45"/>
      <c r="G35" s="99"/>
      <c r="H35" s="65"/>
      <c r="I35" s="206"/>
      <c r="J35" s="206"/>
      <c r="K35" s="96"/>
      <c r="L35" s="23"/>
    </row>
    <row r="36" spans="2:13" ht="20.149999999999999" customHeight="1" thickBot="1" x14ac:dyDescent="0.5">
      <c r="B36" s="24"/>
      <c r="C36" s="25"/>
      <c r="D36" s="473"/>
      <c r="E36" s="473"/>
      <c r="F36" s="473"/>
      <c r="G36" s="25"/>
      <c r="H36" s="66"/>
      <c r="I36" s="66"/>
      <c r="J36" s="66"/>
      <c r="K36" s="26"/>
      <c r="L36" s="27"/>
    </row>
    <row r="37" spans="2:13" ht="20.149999999999999" customHeight="1" thickBot="1" x14ac:dyDescent="0.5">
      <c r="B37" s="28"/>
      <c r="L37" s="29"/>
    </row>
    <row r="38" spans="2:13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474" t="s">
        <v>13</v>
      </c>
      <c r="K38" s="475"/>
      <c r="L38" s="30">
        <f>SUM(L17:L37)</f>
        <v>96</v>
      </c>
      <c r="M38" s="95">
        <f>SUM(P13:P36)-L38*0.02</f>
        <v>40.695999999999998</v>
      </c>
    </row>
    <row r="39" spans="2:13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0" t="s">
        <v>553</v>
      </c>
      <c r="K39" s="113">
        <v>6.54E-2</v>
      </c>
      <c r="L39" s="32">
        <f>L41</f>
        <v>7.1111111111111107</v>
      </c>
    </row>
    <row r="40" spans="2:13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476" t="s">
        <v>555</v>
      </c>
      <c r="K40" s="477"/>
      <c r="L40" s="114">
        <f>L38/108*100</f>
        <v>88.888888888888886</v>
      </c>
    </row>
    <row r="41" spans="2:13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1" t="s">
        <v>554</v>
      </c>
      <c r="K41" s="112">
        <v>0.08</v>
      </c>
      <c r="L41" s="44">
        <f>L40*K41</f>
        <v>7.1111111111111107</v>
      </c>
    </row>
    <row r="42" spans="2:13" ht="20.149999999999999" customHeight="1" thickBot="1" x14ac:dyDescent="0.5">
      <c r="B42" s="11" t="s">
        <v>748</v>
      </c>
      <c r="C42" s="10"/>
      <c r="D42" s="10"/>
      <c r="E42" s="10"/>
      <c r="F42" s="10"/>
      <c r="G42" s="10"/>
      <c r="H42" s="10"/>
      <c r="I42" s="10"/>
      <c r="J42" s="478" t="s">
        <v>21</v>
      </c>
      <c r="K42" s="479"/>
      <c r="L42" s="33">
        <f>L40+L41</f>
        <v>96</v>
      </c>
    </row>
    <row r="43" spans="2:13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3" ht="20.149999999999999" customHeight="1" x14ac:dyDescent="0.45">
      <c r="B44" s="183" t="s">
        <v>749</v>
      </c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28"/>
      <c r="L46" s="29"/>
    </row>
    <row r="47" spans="2:13" ht="20.149999999999999" customHeight="1" x14ac:dyDescent="0.45">
      <c r="B47" s="28"/>
      <c r="L47" s="29"/>
    </row>
    <row r="48" spans="2:13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40">
    <mergeCell ref="D26:F26"/>
    <mergeCell ref="B14:D14"/>
    <mergeCell ref="K14:L14"/>
    <mergeCell ref="J38:K38"/>
    <mergeCell ref="K15:L15"/>
    <mergeCell ref="I18:J18"/>
    <mergeCell ref="D30:F30"/>
    <mergeCell ref="I30:J30"/>
    <mergeCell ref="D24:F24"/>
    <mergeCell ref="D25:F25"/>
    <mergeCell ref="I24:J24"/>
    <mergeCell ref="I25:J25"/>
    <mergeCell ref="J40:K40"/>
    <mergeCell ref="J42:K42"/>
    <mergeCell ref="D19:F19"/>
    <mergeCell ref="I19:J19"/>
    <mergeCell ref="D36:F36"/>
    <mergeCell ref="D20:F20"/>
    <mergeCell ref="I20:J20"/>
    <mergeCell ref="D21:F21"/>
    <mergeCell ref="I21:J21"/>
    <mergeCell ref="D22:F22"/>
    <mergeCell ref="I22:J22"/>
    <mergeCell ref="D23:F23"/>
    <mergeCell ref="D29:F29"/>
    <mergeCell ref="I26:J26"/>
    <mergeCell ref="I29:J29"/>
    <mergeCell ref="I23:J23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</mergeCells>
  <conditionalFormatting sqref="C28">
    <cfRule type="duplicateValues" dxfId="86" priority="1"/>
  </conditionalFormatting>
  <conditionalFormatting sqref="C29">
    <cfRule type="duplicateValues" dxfId="85" priority="2"/>
  </conditionalFormatting>
  <conditionalFormatting sqref="C31">
    <cfRule type="duplicateValues" dxfId="84" priority="4"/>
  </conditionalFormatting>
  <printOptions horizontalCentered="1"/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0FDEB-8CA7-4F46-BE0D-D43B0A7CDBE7}">
  <sheetPr codeName="Sheet8">
    <tabColor rgb="FF7030A0"/>
    <pageSetUpPr fitToPage="1"/>
  </sheetPr>
  <dimension ref="B1:CX345"/>
  <sheetViews>
    <sheetView topLeftCell="A14" zoomScaleNormal="100" workbookViewId="0">
      <selection activeCell="I23" sqref="I23:J2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5.3632812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480</v>
      </c>
      <c r="J10" s="17" t="s">
        <v>26</v>
      </c>
      <c r="K10" s="455">
        <v>202306449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JIN JIN DESSERT                                                                         Blk 6, Jalan Bukit Merah. #01-21 ABC BRICKWORKS FOOD CENTRE . Singapore 150006</v>
      </c>
      <c r="G11" s="445"/>
      <c r="H11" s="446"/>
      <c r="J11" s="18" t="s">
        <v>9</v>
      </c>
      <c r="K11" s="460">
        <v>45098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139" t="s">
        <v>620</v>
      </c>
      <c r="L15" s="138"/>
    </row>
    <row r="16" spans="2:12" ht="19" thickBot="1" x14ac:dyDescent="0.5">
      <c r="J16" s="45"/>
    </row>
    <row r="17" spans="2:10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02" ht="20.149999999999999" customHeight="1" x14ac:dyDescent="0.45">
      <c r="B18" s="21"/>
      <c r="C18" s="338" t="s">
        <v>863</v>
      </c>
      <c r="D18" s="430" t="str">
        <f>VLOOKUP(C18,'Sales Master'!B$3:D$2223,2,0)</f>
        <v>Chin Chow powder 仙草粉</v>
      </c>
      <c r="E18" s="430"/>
      <c r="F18" s="430"/>
      <c r="G18" s="99">
        <v>5</v>
      </c>
      <c r="H18" s="241" t="str">
        <f>VLOOKUP(C18,'Sales Master'!B$3:F$936,5,0)</f>
        <v>2 kgs (20 X 100GM)</v>
      </c>
      <c r="I18" s="432" t="str">
        <f>VLOOKUP(C18,'Sales Master'!B$3:E$936,4,0)</f>
        <v>-</v>
      </c>
      <c r="J18" s="432"/>
      <c r="K18" s="22">
        <f>VLOOKUP(C18,'Sales Master'!B$8:AW$936,48,0)</f>
        <v>30</v>
      </c>
      <c r="L18" s="71">
        <f t="shared" ref="L18" si="0">K18*G18</f>
        <v>150</v>
      </c>
      <c r="N18" s="247">
        <f>VLOOKUP(C18,'Sales Master'!$B$3:$FA$3051,156,0)</f>
        <v>18.600000000000001</v>
      </c>
      <c r="O18" s="247">
        <f t="shared" ref="O18:O20" si="1">K18-N18</f>
        <v>11.399999999999999</v>
      </c>
      <c r="P18" s="247">
        <f t="shared" ref="P18:P20" si="2">O18*G18</f>
        <v>56.999999999999993</v>
      </c>
      <c r="R18" s="60">
        <v>1</v>
      </c>
      <c r="S18" s="60" t="s">
        <v>33</v>
      </c>
      <c r="T18" s="60" t="s">
        <v>48</v>
      </c>
      <c r="V18" s="60">
        <v>14</v>
      </c>
    </row>
    <row r="19" spans="2:102" ht="20.149999999999999" customHeight="1" x14ac:dyDescent="0.45">
      <c r="B19" s="21"/>
      <c r="C19" s="338" t="s">
        <v>1702</v>
      </c>
      <c r="D19" s="494" t="str">
        <f>VLOOKUP(C19,'Sales Master'!B$3:D$2223,2,0)</f>
        <v>Jelly Powder 文头雪粉 (Carrageenan)</v>
      </c>
      <c r="E19" s="494"/>
      <c r="F19" s="494"/>
      <c r="G19" s="99">
        <v>5</v>
      </c>
      <c r="H19" s="241" t="str">
        <f>VLOOKUP(C19,'Sales Master'!B$3:F$936,5,0)</f>
        <v>46gm/10 pkts</v>
      </c>
      <c r="I19" s="432" t="str">
        <f>VLOOKUP(C19,'Sales Master'!B$3:E$936,4,0)</f>
        <v>500/4000</v>
      </c>
      <c r="J19" s="432"/>
      <c r="K19" s="22">
        <f>VLOOKUP(C19,'Sales Master'!B$8:AW$936,48,0)</f>
        <v>32</v>
      </c>
      <c r="L19" s="71">
        <f t="shared" ref="L19:L20" si="3">K19*G19</f>
        <v>160</v>
      </c>
      <c r="N19" s="247">
        <f>VLOOKUP(C19,'Sales Master'!$B$3:$FA$3051,156,0)</f>
        <v>0</v>
      </c>
      <c r="O19" s="247">
        <f t="shared" si="1"/>
        <v>32</v>
      </c>
      <c r="P19" s="247">
        <f t="shared" si="2"/>
        <v>160</v>
      </c>
      <c r="R19" s="60">
        <v>1</v>
      </c>
      <c r="S19" s="60" t="s">
        <v>33</v>
      </c>
      <c r="T19" s="60" t="s">
        <v>48</v>
      </c>
      <c r="V19" s="60">
        <v>16</v>
      </c>
    </row>
    <row r="20" spans="2:102" ht="20.149999999999999" customHeight="1" x14ac:dyDescent="0.45">
      <c r="B20" s="21"/>
      <c r="C20" s="338" t="s">
        <v>867</v>
      </c>
      <c r="D20" s="430" t="str">
        <f>VLOOKUP(C20,'Sales Master'!B$3:D$2223,2,0)</f>
        <v>Agar Powder 菜燕粉</v>
      </c>
      <c r="E20" s="430"/>
      <c r="F20" s="430"/>
      <c r="G20" s="99">
        <v>3</v>
      </c>
      <c r="H20" s="241" t="str">
        <f>VLOOKUP(C20,'Sales Master'!B$3:F$936,5,0)</f>
        <v>1 kg</v>
      </c>
      <c r="I20" s="432" t="str">
        <f>VLOOKUP(C20,'Sales Master'!B$3:E$936,4,0)</f>
        <v>No 1</v>
      </c>
      <c r="J20" s="432"/>
      <c r="K20" s="22">
        <f>VLOOKUP(C20,'Sales Master'!B$8:AW$936,48,0)</f>
        <v>48</v>
      </c>
      <c r="L20" s="71">
        <f t="shared" si="3"/>
        <v>144</v>
      </c>
      <c r="N20" s="247">
        <f>VLOOKUP(C20,'Sales Master'!$B$3:$FA$3051,156,0)</f>
        <v>35</v>
      </c>
      <c r="O20" s="247">
        <f t="shared" si="1"/>
        <v>13</v>
      </c>
      <c r="P20" s="247">
        <f t="shared" si="2"/>
        <v>39</v>
      </c>
      <c r="R20" s="60">
        <v>1</v>
      </c>
      <c r="S20" s="60" t="s">
        <v>33</v>
      </c>
      <c r="T20" s="60" t="s">
        <v>48</v>
      </c>
      <c r="V20" s="60">
        <v>10</v>
      </c>
      <c r="CX20" s="60">
        <v>7</v>
      </c>
    </row>
    <row r="21" spans="2:102" ht="20.149999999999999" customHeight="1" x14ac:dyDescent="0.45">
      <c r="B21" s="21" t="s">
        <v>1704</v>
      </c>
      <c r="C21" s="338" t="s">
        <v>876</v>
      </c>
      <c r="D21" s="430" t="str">
        <f>VLOOKUP(C21,'Sales Master'!B$3:D$2223,2,0)</f>
        <v>Almond Power-White 杏仁粉白</v>
      </c>
      <c r="E21" s="430"/>
      <c r="F21" s="430"/>
      <c r="G21" s="99">
        <v>-3</v>
      </c>
      <c r="H21" s="241"/>
      <c r="I21" s="432"/>
      <c r="J21" s="432"/>
      <c r="K21" s="22"/>
      <c r="L21" s="71"/>
      <c r="N21" s="247"/>
      <c r="O21" s="247"/>
      <c r="P21" s="247"/>
    </row>
    <row r="22" spans="2:102" ht="20.149999999999999" customHeight="1" x14ac:dyDescent="0.45">
      <c r="B22" s="21"/>
      <c r="C22" s="45"/>
      <c r="D22" s="430"/>
      <c r="E22" s="430"/>
      <c r="F22" s="430"/>
      <c r="G22" s="99"/>
      <c r="H22" s="241"/>
      <c r="I22" s="432"/>
      <c r="J22" s="432"/>
      <c r="K22" s="22"/>
      <c r="L22" s="71"/>
      <c r="N22" s="247"/>
      <c r="O22" s="247"/>
      <c r="P22" s="247"/>
    </row>
    <row r="23" spans="2:102" ht="20.149999999999999" customHeight="1" x14ac:dyDescent="0.45">
      <c r="B23" s="21"/>
      <c r="C23" s="45"/>
      <c r="D23" s="430"/>
      <c r="E23" s="430"/>
      <c r="F23" s="430"/>
      <c r="G23" s="99"/>
      <c r="H23" s="241"/>
      <c r="I23" s="432"/>
      <c r="J23" s="432"/>
      <c r="K23" s="22"/>
      <c r="L23" s="71"/>
      <c r="N23" s="247"/>
      <c r="O23" s="247"/>
      <c r="P23" s="247"/>
    </row>
    <row r="24" spans="2:102" ht="20.149999999999999" customHeight="1" x14ac:dyDescent="0.45">
      <c r="B24" s="21"/>
      <c r="C24" s="45"/>
      <c r="D24" s="430"/>
      <c r="E24" s="430"/>
      <c r="F24" s="430"/>
      <c r="G24" s="99"/>
      <c r="H24" s="241"/>
      <c r="I24" s="432"/>
      <c r="J24" s="432"/>
      <c r="K24" s="22"/>
      <c r="L24" s="71"/>
      <c r="N24" s="247"/>
      <c r="O24" s="247"/>
      <c r="P24" s="247"/>
      <c r="V24" s="60">
        <v>13</v>
      </c>
    </row>
    <row r="25" spans="2:102" ht="20.149999999999999" customHeight="1" x14ac:dyDescent="0.45">
      <c r="B25" s="21"/>
      <c r="C25" s="45"/>
      <c r="D25" s="430"/>
      <c r="E25" s="430"/>
      <c r="F25" s="430"/>
      <c r="G25" s="99"/>
      <c r="H25" s="241"/>
      <c r="I25" s="432"/>
      <c r="J25" s="432"/>
      <c r="K25" s="22"/>
      <c r="L25" s="71"/>
      <c r="N25" s="247"/>
      <c r="O25" s="247"/>
      <c r="P25" s="247"/>
    </row>
    <row r="26" spans="2:102" ht="20.149999999999999" customHeight="1" x14ac:dyDescent="0.45">
      <c r="B26" s="21"/>
      <c r="C26" s="45"/>
      <c r="D26" s="430"/>
      <c r="E26" s="430"/>
      <c r="F26" s="430"/>
      <c r="G26" s="99"/>
      <c r="H26" s="241"/>
      <c r="I26" s="432"/>
      <c r="J26" s="432"/>
      <c r="K26" s="22"/>
      <c r="L26" s="71"/>
      <c r="N26" s="247"/>
      <c r="O26" s="247"/>
      <c r="P26" s="247"/>
    </row>
    <row r="27" spans="2:102" ht="20.149999999999999" customHeight="1" x14ac:dyDescent="0.45">
      <c r="B27" s="21"/>
      <c r="C27" s="45"/>
      <c r="D27" s="430"/>
      <c r="E27" s="430"/>
      <c r="F27" s="430"/>
      <c r="G27" s="99"/>
      <c r="H27" s="241"/>
      <c r="I27" s="432"/>
      <c r="J27" s="432"/>
      <c r="K27" s="22"/>
      <c r="L27" s="71"/>
      <c r="N27" s="247"/>
      <c r="O27" s="247"/>
      <c r="P27" s="247"/>
    </row>
    <row r="28" spans="2:102" ht="20.149999999999999" customHeight="1" x14ac:dyDescent="0.45">
      <c r="B28" s="21"/>
      <c r="D28" s="430"/>
      <c r="E28" s="430"/>
      <c r="F28" s="430"/>
      <c r="G28" s="99"/>
      <c r="H28" s="241"/>
      <c r="I28" s="432"/>
      <c r="J28" s="432"/>
      <c r="K28" s="22"/>
      <c r="L28" s="71"/>
      <c r="N28" s="247"/>
      <c r="O28" s="247"/>
      <c r="P28" s="247"/>
    </row>
    <row r="29" spans="2:102" ht="20.149999999999999" customHeight="1" x14ac:dyDescent="0.45">
      <c r="B29" s="21"/>
      <c r="G29" s="45"/>
      <c r="H29" s="65"/>
      <c r="I29" s="206"/>
      <c r="J29" s="206"/>
      <c r="K29" s="22"/>
      <c r="L29" s="71"/>
      <c r="N29" s="247"/>
      <c r="O29" s="247"/>
      <c r="P29" s="247"/>
    </row>
    <row r="30" spans="2:102" ht="20.149999999999999" customHeight="1" x14ac:dyDescent="0.45">
      <c r="B30" s="21"/>
      <c r="C30" s="69"/>
      <c r="D30" s="69"/>
      <c r="E30" s="69"/>
      <c r="F30" s="69"/>
      <c r="G30" s="45"/>
      <c r="H30" s="65"/>
      <c r="I30" s="65"/>
      <c r="J30" s="65"/>
      <c r="K30" s="22"/>
      <c r="L30" s="71"/>
    </row>
    <row r="31" spans="2:102" ht="20.149999999999999" customHeight="1" thickBot="1" x14ac:dyDescent="0.5">
      <c r="B31" s="24"/>
      <c r="C31" s="25"/>
      <c r="D31" s="473"/>
      <c r="E31" s="473"/>
      <c r="F31" s="473"/>
      <c r="G31" s="25"/>
      <c r="H31" s="66"/>
      <c r="I31" s="66"/>
      <c r="J31" s="66"/>
      <c r="K31" s="26"/>
      <c r="L31" s="27"/>
    </row>
    <row r="32" spans="2:102" ht="20.149999999999999" customHeight="1" thickBot="1" x14ac:dyDescent="0.5">
      <c r="B32" s="28"/>
      <c r="L32" s="29"/>
    </row>
    <row r="33" spans="2:13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30">
        <f>SUM(L18:L31)</f>
        <v>454</v>
      </c>
      <c r="M33" s="95">
        <f>SUM(P18:P31)-L34*0.02</f>
        <v>255.32740740740741</v>
      </c>
    </row>
    <row r="34" spans="2:13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32">
        <f>L36</f>
        <v>33.629629629629626</v>
      </c>
    </row>
    <row r="35" spans="2:13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114">
        <f>L33/108*100</f>
        <v>420.37037037037032</v>
      </c>
    </row>
    <row r="36" spans="2:13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0.08</v>
      </c>
      <c r="L36" s="44">
        <f>L35*K36</f>
        <v>33.629629629629626</v>
      </c>
    </row>
    <row r="37" spans="2:13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78" t="s">
        <v>21</v>
      </c>
      <c r="K37" s="479"/>
      <c r="L37" s="33">
        <f>L35+L36</f>
        <v>453.99999999999994</v>
      </c>
    </row>
    <row r="38" spans="2:13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83" t="s">
        <v>749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24</v>
      </c>
      <c r="J44" s="60" t="s">
        <v>25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  <row r="139" spans="102:102" x14ac:dyDescent="0.45">
      <c r="CX139" s="60">
        <v>68</v>
      </c>
    </row>
    <row r="149" spans="102:102" x14ac:dyDescent="0.45">
      <c r="CX149" s="60">
        <v>19.5</v>
      </c>
    </row>
    <row r="165" spans="102:102" x14ac:dyDescent="0.45">
      <c r="CX165" s="60">
        <v>13.5</v>
      </c>
    </row>
    <row r="172" spans="102:102" x14ac:dyDescent="0.45">
      <c r="CX172" s="60">
        <v>16.8</v>
      </c>
    </row>
    <row r="190" spans="102:102" x14ac:dyDescent="0.45">
      <c r="CX190" s="60">
        <v>11</v>
      </c>
    </row>
    <row r="339" spans="102:102" x14ac:dyDescent="0.45">
      <c r="CX339" s="60">
        <v>16.5</v>
      </c>
    </row>
    <row r="345" spans="102:102" x14ac:dyDescent="0.45">
      <c r="CX345" s="60">
        <v>30.5</v>
      </c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1:F31"/>
    <mergeCell ref="J33:K33"/>
    <mergeCell ref="J35:K35"/>
    <mergeCell ref="J37:K37"/>
    <mergeCell ref="D28:F28"/>
    <mergeCell ref="I28:J28"/>
  </mergeCells>
  <pageMargins left="0.70866141732283472" right="0.31496062992125984" top="0.55118110236220474" bottom="0" header="0.31496062992125984" footer="0.31496062992125984"/>
  <pageSetup paperSize="9" scale="74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A0345-E250-4ED1-AFA4-20BD89803A63}">
  <sheetPr codeName="Sheet62">
    <tabColor rgb="FFFFC000"/>
    <pageSetUpPr fitToPage="1"/>
  </sheetPr>
  <dimension ref="B1:P46"/>
  <sheetViews>
    <sheetView topLeftCell="A23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4.81640625" style="60" customWidth="1"/>
    <col min="11" max="11" width="10.54296875" style="60" customWidth="1"/>
    <col min="12" max="12" width="11.54296875" style="60" customWidth="1"/>
    <col min="13" max="16384" width="12.54296875" style="60"/>
  </cols>
  <sheetData>
    <row r="1" spans="2:12" x14ac:dyDescent="0.45"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</row>
    <row r="2" spans="2:12" x14ac:dyDescent="0.45"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</row>
    <row r="3" spans="2:12" x14ac:dyDescent="0.45"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</row>
    <row r="4" spans="2:12" x14ac:dyDescent="0.45"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512"/>
    </row>
    <row r="5" spans="2:12" x14ac:dyDescent="0.45">
      <c r="B5" s="512"/>
      <c r="C5" s="512"/>
      <c r="D5" s="512"/>
      <c r="E5" s="512"/>
      <c r="F5" s="512"/>
      <c r="G5" s="512"/>
      <c r="H5" s="512"/>
      <c r="I5" s="512"/>
      <c r="J5" s="512"/>
      <c r="K5" s="512"/>
      <c r="L5" s="512"/>
    </row>
    <row r="6" spans="2:12" x14ac:dyDescent="0.45">
      <c r="B6" s="512"/>
      <c r="C6" s="512"/>
      <c r="D6" s="512"/>
      <c r="E6" s="512"/>
      <c r="F6" s="512"/>
      <c r="G6" s="512"/>
      <c r="H6" s="512"/>
      <c r="I6" s="512"/>
      <c r="J6" s="512"/>
      <c r="K6" s="512"/>
      <c r="L6" s="512"/>
    </row>
    <row r="7" spans="2:12" x14ac:dyDescent="0.45">
      <c r="B7" s="512"/>
      <c r="C7" s="512"/>
      <c r="D7" s="512"/>
      <c r="E7" s="512"/>
      <c r="F7" s="512"/>
      <c r="G7" s="512"/>
      <c r="H7" s="512"/>
      <c r="I7" s="512"/>
      <c r="J7" s="512"/>
      <c r="K7" s="512"/>
      <c r="L7" s="512"/>
    </row>
    <row r="8" spans="2:12" ht="19" thickBot="1" x14ac:dyDescent="0.5"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</row>
    <row r="9" spans="2:12" ht="19" thickBot="1" x14ac:dyDescent="0.5">
      <c r="B9" s="280"/>
      <c r="C9" s="144"/>
      <c r="D9" s="144"/>
      <c r="E9" s="144"/>
      <c r="F9" s="144"/>
      <c r="G9" s="144"/>
      <c r="H9" s="144"/>
      <c r="I9" s="144"/>
      <c r="J9" s="144"/>
      <c r="K9" s="144"/>
      <c r="L9" s="144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500</v>
      </c>
      <c r="J10" s="17" t="s">
        <v>26</v>
      </c>
      <c r="K10" s="455">
        <v>202311072</v>
      </c>
      <c r="L10" s="456"/>
    </row>
    <row r="11" spans="2:12" ht="20.149999999999999" customHeight="1" x14ac:dyDescent="0.45">
      <c r="B11" s="457" t="s">
        <v>716</v>
      </c>
      <c r="C11" s="458"/>
      <c r="D11" s="459"/>
      <c r="E11" s="61"/>
      <c r="F11" s="444" t="str">
        <f>VLOOKUP(H10,'Delivery Location'!A$4:N$423,2,0)</f>
        <v>Dessert House                                       Taman Jurong Market &amp; Food Centre. Blk. 3  Yung Sheng Road  #03-158 Singapore 618499</v>
      </c>
      <c r="G11" s="445"/>
      <c r="H11" s="446"/>
      <c r="J11" s="18" t="s">
        <v>9</v>
      </c>
      <c r="K11" s="460">
        <v>45233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 t="s">
        <v>1735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B16" s="144"/>
      <c r="C16" s="144"/>
      <c r="D16" s="144"/>
      <c r="E16" s="144"/>
      <c r="F16" s="144"/>
      <c r="G16" s="144"/>
      <c r="H16" s="144"/>
      <c r="I16" s="144"/>
      <c r="J16" s="148"/>
      <c r="K16" s="144"/>
      <c r="L16" s="144"/>
    </row>
    <row r="17" spans="2:16" ht="30" customHeight="1" thickBot="1" x14ac:dyDescent="0.5">
      <c r="B17" s="281" t="s">
        <v>2</v>
      </c>
      <c r="C17" s="282" t="s">
        <v>3</v>
      </c>
      <c r="D17" s="508" t="s">
        <v>4</v>
      </c>
      <c r="E17" s="509"/>
      <c r="F17" s="510"/>
      <c r="G17" s="283" t="s">
        <v>335</v>
      </c>
      <c r="H17" s="282" t="s">
        <v>28</v>
      </c>
      <c r="I17" s="508" t="s">
        <v>57</v>
      </c>
      <c r="J17" s="510"/>
      <c r="K17" s="282" t="s">
        <v>5</v>
      </c>
      <c r="L17" s="284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87"/>
      <c r="C18" s="338" t="s">
        <v>924</v>
      </c>
      <c r="D18" s="430" t="str">
        <f>VLOOKUP(C18,'Sales Master'!B$3:D$644,2,0)</f>
        <v>Red Bean 红豆</v>
      </c>
      <c r="E18" s="430"/>
      <c r="F18" s="430"/>
      <c r="G18" s="45">
        <v>5</v>
      </c>
      <c r="H18" s="241" t="str">
        <f>VLOOKUP(C18,'Sales Master'!B$3:F$936,5,0)</f>
        <v>5 kgs</v>
      </c>
      <c r="I18" s="520" t="str">
        <f>VLOOKUP(C18,'Sales Master'!B$3:E$936,4,0)</f>
        <v>-</v>
      </c>
      <c r="J18" s="520"/>
      <c r="K18" s="22">
        <f>VLOOKUP(C18,'Sales Master'!B$3:BZ$936,77,0)</f>
        <v>19</v>
      </c>
      <c r="L18" s="23">
        <f t="shared" ref="L18:L19" si="0">K18*G18</f>
        <v>95</v>
      </c>
      <c r="N18" s="247">
        <f>VLOOKUP(C18,'Sales Master'!$B$3:$FA$3051,156,0)</f>
        <v>13.5</v>
      </c>
      <c r="O18" s="247">
        <f t="shared" ref="O18:O19" si="1">K18-N18</f>
        <v>5.5</v>
      </c>
      <c r="P18" s="247">
        <f t="shared" ref="P18:P19" si="2">O18*G18</f>
        <v>27.5</v>
      </c>
    </row>
    <row r="19" spans="2:16" ht="20.149999999999999" customHeight="1" x14ac:dyDescent="0.45">
      <c r="B19" s="287"/>
      <c r="C19" s="338" t="s">
        <v>937</v>
      </c>
      <c r="D19" s="430" t="str">
        <f>VLOOKUP(C19,'Sales Master'!B$3:D$644,2,0)</f>
        <v>Green Bean 绿豆</v>
      </c>
      <c r="E19" s="430"/>
      <c r="F19" s="430"/>
      <c r="G19" s="45">
        <v>5</v>
      </c>
      <c r="H19" s="241" t="str">
        <f>VLOOKUP(C19,'Sales Master'!B$3:F$936,5,0)</f>
        <v>5 KGS</v>
      </c>
      <c r="I19" s="520" t="str">
        <f>VLOOKUP(C19,'Sales Master'!B$3:E$936,4,0)</f>
        <v>-</v>
      </c>
      <c r="J19" s="520"/>
      <c r="K19" s="22">
        <f>VLOOKUP(C19,'Sales Master'!B$3:BZ$936,77,0)</f>
        <v>14</v>
      </c>
      <c r="L19" s="23">
        <f t="shared" si="0"/>
        <v>70</v>
      </c>
      <c r="N19" s="247">
        <f>VLOOKUP(C19,'Sales Master'!$B$3:$FA$3051,156,0)</f>
        <v>9.7199999999999989</v>
      </c>
      <c r="O19" s="247">
        <f t="shared" si="1"/>
        <v>4.2800000000000011</v>
      </c>
      <c r="P19" s="247">
        <f t="shared" si="2"/>
        <v>21.400000000000006</v>
      </c>
    </row>
    <row r="20" spans="2:16" ht="20.149999999999999" customHeight="1" x14ac:dyDescent="0.45">
      <c r="B20" s="287"/>
      <c r="C20" s="338" t="s">
        <v>949</v>
      </c>
      <c r="D20" s="430" t="str">
        <f>VLOOKUP(C20,'Sales Master'!B$3:D$644,2,0)</f>
        <v>Black Glutinous Rice 黑糯米</v>
      </c>
      <c r="E20" s="430"/>
      <c r="F20" s="430"/>
      <c r="G20" s="45">
        <v>2</v>
      </c>
      <c r="H20" s="241" t="str">
        <f>VLOOKUP(C20,'Sales Master'!B$3:F$936,5,0)</f>
        <v>5 kgs</v>
      </c>
      <c r="I20" s="520" t="str">
        <f>VLOOKUP(C20,'Sales Master'!B$3:E$936,4,0)</f>
        <v>-</v>
      </c>
      <c r="J20" s="520"/>
      <c r="K20" s="22">
        <f>VLOOKUP(C20,'Sales Master'!B$3:BZ$936,77,0)</f>
        <v>18</v>
      </c>
      <c r="L20" s="23">
        <f t="shared" ref="L20:L21" si="3">K20*G20</f>
        <v>36</v>
      </c>
      <c r="N20" s="247">
        <f>VLOOKUP(C20,'Sales Master'!$B$3:$FA$3051,156,0)</f>
        <v>12.960000000000003</v>
      </c>
      <c r="O20" s="247">
        <f t="shared" ref="O20:O21" si="4">K20-N20</f>
        <v>5.0399999999999974</v>
      </c>
      <c r="P20" s="247">
        <f t="shared" ref="P20:P21" si="5">O20*G20</f>
        <v>10.079999999999995</v>
      </c>
    </row>
    <row r="21" spans="2:16" ht="20.149999999999999" customHeight="1" x14ac:dyDescent="0.45">
      <c r="B21" s="287"/>
      <c r="C21" s="338" t="s">
        <v>1020</v>
      </c>
      <c r="D21" s="430" t="str">
        <f>VLOOKUP(C21,'Sales Master'!B$3:D$644,2,0)</f>
        <v>Sea Coconut 海底椰</v>
      </c>
      <c r="E21" s="430"/>
      <c r="F21" s="430"/>
      <c r="G21" s="45">
        <v>2</v>
      </c>
      <c r="H21" s="241" t="str">
        <f>VLOOKUP(C21,'Sales Master'!B$3:F$936,5,0)</f>
        <v>1 Can X A10</v>
      </c>
      <c r="I21" s="520" t="str">
        <f>VLOOKUP(C21,'Sales Master'!B$3:E$936,4,0)</f>
        <v>Chefs</v>
      </c>
      <c r="J21" s="520"/>
      <c r="K21" s="22">
        <f>VLOOKUP(C21,'Sales Master'!B$3:BZ$936,77,0)</f>
        <v>19</v>
      </c>
      <c r="L21" s="23">
        <f t="shared" si="3"/>
        <v>38</v>
      </c>
      <c r="N21" s="247">
        <f>VLOOKUP(C21,'Sales Master'!$B$3:$FA$3051,156,0)</f>
        <v>14.333333333333334</v>
      </c>
      <c r="O21" s="247">
        <f t="shared" si="4"/>
        <v>4.6666666666666661</v>
      </c>
      <c r="P21" s="247">
        <f t="shared" si="5"/>
        <v>9.3333333333333321</v>
      </c>
    </row>
    <row r="22" spans="2:16" ht="20.149999999999999" customHeight="1" x14ac:dyDescent="0.45">
      <c r="B22" s="287"/>
      <c r="C22" s="338" t="s">
        <v>1022</v>
      </c>
      <c r="D22" s="430" t="str">
        <f>VLOOKUP(C22,'Sales Master'!B$3:D$644,2,0)</f>
        <v>Nata 椰果芊 15mm</v>
      </c>
      <c r="E22" s="430"/>
      <c r="F22" s="430"/>
      <c r="G22" s="45">
        <v>2</v>
      </c>
      <c r="H22" s="241" t="str">
        <f>VLOOKUP(C22,'Sales Master'!B$3:F$936,5,0)</f>
        <v>1 Can X A10</v>
      </c>
      <c r="I22" s="520" t="str">
        <f>VLOOKUP(C22,'Sales Master'!B$3:E$936,4,0)</f>
        <v>Chefs</v>
      </c>
      <c r="J22" s="520"/>
      <c r="K22" s="22">
        <f>VLOOKUP(C22,'Sales Master'!B$3:BZ$936,77,0)</f>
        <v>9.5</v>
      </c>
      <c r="L22" s="23">
        <f t="shared" ref="L22" si="6">K22*G22</f>
        <v>19</v>
      </c>
      <c r="N22" s="247">
        <f>VLOOKUP(C22,'Sales Master'!$B$3:$FA$3051,156,0)</f>
        <v>6.916666666666667</v>
      </c>
      <c r="O22" s="247">
        <f t="shared" ref="O22" si="7">K22-N22</f>
        <v>2.583333333333333</v>
      </c>
      <c r="P22" s="247">
        <f t="shared" ref="P22" si="8">O22*G22</f>
        <v>5.1666666666666661</v>
      </c>
    </row>
    <row r="23" spans="2:16" ht="20.149999999999999" customHeight="1" x14ac:dyDescent="0.45">
      <c r="B23" s="287"/>
      <c r="C23" s="338" t="s">
        <v>1035</v>
      </c>
      <c r="D23" s="430" t="str">
        <f>VLOOKUP(C23,'Sales Master'!B$3:D$644,2,0)</f>
        <v>Fruit Cocktail 杂果</v>
      </c>
      <c r="E23" s="430"/>
      <c r="F23" s="430"/>
      <c r="G23" s="99">
        <v>1</v>
      </c>
      <c r="H23" s="241" t="str">
        <f>VLOOKUP(C23,'Sales Master'!B$3:F$936,5,0)</f>
        <v>(820gm x 12)/箱</v>
      </c>
      <c r="I23" s="520" t="str">
        <f>VLOOKUP(C23,'Sales Master'!B$3:E$936,4,0)</f>
        <v>Statue</v>
      </c>
      <c r="J23" s="520"/>
      <c r="K23" s="22">
        <f>VLOOKUP(C23,'Sales Master'!B$3:BZ$936,77,0)</f>
        <v>34</v>
      </c>
      <c r="L23" s="23">
        <f>K23*G23</f>
        <v>34</v>
      </c>
      <c r="N23" s="247">
        <f>VLOOKUP(C23,'Sales Master'!$B$3:$FA$3051,156,0)</f>
        <v>29</v>
      </c>
      <c r="O23" s="247">
        <f>K23-N23</f>
        <v>5</v>
      </c>
      <c r="P23" s="247">
        <f>O23*G23</f>
        <v>5</v>
      </c>
    </row>
    <row r="24" spans="2:16" ht="20.149999999999999" customHeight="1" x14ac:dyDescent="0.45">
      <c r="B24" s="287"/>
      <c r="C24" s="338"/>
      <c r="D24" s="430"/>
      <c r="E24" s="430"/>
      <c r="F24" s="430"/>
      <c r="G24" s="45"/>
      <c r="H24" s="241"/>
      <c r="I24" s="520"/>
      <c r="J24" s="520"/>
      <c r="K24" s="22"/>
      <c r="L24" s="23"/>
      <c r="N24" s="247"/>
      <c r="O24" s="247"/>
      <c r="P24" s="247"/>
    </row>
    <row r="25" spans="2:16" ht="20.149999999999999" customHeight="1" x14ac:dyDescent="0.45">
      <c r="B25" s="287"/>
      <c r="C25" s="338"/>
      <c r="D25" s="430"/>
      <c r="E25" s="430"/>
      <c r="F25" s="430"/>
      <c r="G25" s="99"/>
      <c r="H25" s="241"/>
      <c r="I25" s="520"/>
      <c r="J25" s="520"/>
      <c r="K25" s="22"/>
      <c r="L25" s="23"/>
      <c r="N25" s="247"/>
      <c r="O25" s="247"/>
      <c r="P25" s="247"/>
    </row>
    <row r="26" spans="2:16" ht="20.149999999999999" customHeight="1" x14ac:dyDescent="0.45">
      <c r="B26" s="287"/>
      <c r="C26" s="338"/>
      <c r="D26" s="430"/>
      <c r="E26" s="430"/>
      <c r="F26" s="430"/>
      <c r="G26" s="99"/>
      <c r="H26" s="241"/>
      <c r="I26" s="520"/>
      <c r="J26" s="520"/>
      <c r="K26" s="22"/>
      <c r="L26" s="23"/>
      <c r="N26" s="247"/>
      <c r="O26" s="247"/>
      <c r="P26" s="247"/>
    </row>
    <row r="27" spans="2:16" ht="20.149999999999999" customHeight="1" x14ac:dyDescent="0.45">
      <c r="B27" s="287"/>
      <c r="C27" s="338"/>
      <c r="D27" s="430"/>
      <c r="E27" s="430"/>
      <c r="F27" s="430"/>
      <c r="G27" s="99"/>
      <c r="H27" s="241"/>
      <c r="I27" s="520"/>
      <c r="J27" s="520"/>
      <c r="K27" s="22"/>
      <c r="L27" s="23"/>
      <c r="N27" s="247"/>
      <c r="O27" s="247"/>
      <c r="P27" s="247"/>
    </row>
    <row r="28" spans="2:16" ht="20.149999999999999" customHeight="1" x14ac:dyDescent="0.45">
      <c r="B28" s="287"/>
      <c r="C28" s="338"/>
      <c r="D28" s="430"/>
      <c r="E28" s="430"/>
      <c r="F28" s="430"/>
      <c r="G28" s="99"/>
      <c r="H28" s="241"/>
      <c r="I28" s="520"/>
      <c r="J28" s="520"/>
      <c r="K28" s="22"/>
      <c r="L28" s="23"/>
      <c r="N28" s="247"/>
      <c r="O28" s="247"/>
      <c r="P28" s="247"/>
    </row>
    <row r="29" spans="2:16" ht="20.149999999999999" customHeight="1" x14ac:dyDescent="0.45">
      <c r="B29" s="287"/>
      <c r="C29" s="338"/>
      <c r="D29" s="430"/>
      <c r="E29" s="430"/>
      <c r="F29" s="430"/>
      <c r="G29" s="99"/>
      <c r="H29" s="241"/>
      <c r="I29" s="520"/>
      <c r="J29" s="520"/>
      <c r="K29" s="22"/>
      <c r="L29" s="23"/>
      <c r="N29" s="247"/>
      <c r="O29" s="247"/>
      <c r="P29" s="247"/>
    </row>
    <row r="30" spans="2:16" ht="20.149999999999999" customHeight="1" x14ac:dyDescent="0.45">
      <c r="B30" s="287"/>
      <c r="C30" s="140"/>
      <c r="E30" s="69"/>
      <c r="F30" s="69"/>
      <c r="G30" s="99"/>
      <c r="H30" s="65"/>
      <c r="I30" s="65"/>
      <c r="J30" s="65"/>
      <c r="K30" s="22"/>
      <c r="L30" s="23"/>
      <c r="N30" s="247"/>
      <c r="O30" s="247"/>
      <c r="P30" s="247"/>
    </row>
    <row r="31" spans="2:16" ht="20.149999999999999" customHeight="1" thickBot="1" x14ac:dyDescent="0.5">
      <c r="B31" s="292"/>
      <c r="C31" s="279"/>
      <c r="D31" s="506"/>
      <c r="E31" s="506"/>
      <c r="F31" s="506"/>
      <c r="G31" s="279"/>
      <c r="H31" s="279"/>
      <c r="I31" s="279"/>
      <c r="J31" s="279"/>
      <c r="K31" s="293"/>
      <c r="L31" s="294"/>
    </row>
    <row r="32" spans="2:16" ht="20.149999999999999" customHeight="1" thickBot="1" x14ac:dyDescent="0.5">
      <c r="B32" s="295"/>
      <c r="C32" s="144"/>
      <c r="D32" s="144"/>
      <c r="E32" s="144"/>
      <c r="F32" s="144"/>
      <c r="G32" s="144"/>
      <c r="H32" s="144"/>
      <c r="I32" s="144"/>
      <c r="J32" s="144"/>
      <c r="K32" s="144"/>
      <c r="L32" s="296"/>
    </row>
    <row r="33" spans="2:14" ht="20.149999999999999" customHeight="1" x14ac:dyDescent="0.45">
      <c r="B33" s="11" t="s">
        <v>16</v>
      </c>
      <c r="C33" s="150"/>
      <c r="D33" s="150"/>
      <c r="E33" s="150"/>
      <c r="F33" s="150"/>
      <c r="G33" s="150"/>
      <c r="H33" s="150"/>
      <c r="I33" s="150"/>
      <c r="J33" s="474" t="s">
        <v>13</v>
      </c>
      <c r="K33" s="475"/>
      <c r="L33" s="30">
        <f>SUM(L18:L32)</f>
        <v>292</v>
      </c>
      <c r="M33" s="95">
        <f>SUM(P18:P30)-L33*0.02</f>
        <v>72.64</v>
      </c>
      <c r="N33" s="248">
        <f>M33/L33</f>
        <v>0.24876712328767123</v>
      </c>
    </row>
    <row r="34" spans="2:14" ht="20.149999999999999" customHeight="1" x14ac:dyDescent="0.45">
      <c r="B34" s="11" t="s">
        <v>17</v>
      </c>
      <c r="C34" s="150"/>
      <c r="D34" s="150"/>
      <c r="E34" s="150"/>
      <c r="F34" s="150"/>
      <c r="G34" s="150"/>
      <c r="H34" s="150"/>
      <c r="I34" s="150"/>
      <c r="J34" s="110" t="s">
        <v>553</v>
      </c>
      <c r="K34" s="113">
        <v>6.54E-2</v>
      </c>
      <c r="L34" s="32">
        <f>L36</f>
        <v>21.62962962962963</v>
      </c>
    </row>
    <row r="35" spans="2:14" ht="20.149999999999999" customHeight="1" x14ac:dyDescent="0.45">
      <c r="B35" s="11" t="s">
        <v>18</v>
      </c>
      <c r="C35" s="150"/>
      <c r="D35" s="150"/>
      <c r="E35" s="150"/>
      <c r="F35" s="150"/>
      <c r="G35" s="150"/>
      <c r="H35" s="150"/>
      <c r="I35" s="150"/>
      <c r="J35" s="476" t="s">
        <v>555</v>
      </c>
      <c r="K35" s="477"/>
      <c r="L35" s="114">
        <f>L33/108*100</f>
        <v>270.37037037037038</v>
      </c>
    </row>
    <row r="36" spans="2:14" ht="20.149999999999999" customHeight="1" x14ac:dyDescent="0.45">
      <c r="B36" s="11" t="s">
        <v>22</v>
      </c>
      <c r="C36" s="150"/>
      <c r="D36" s="150"/>
      <c r="E36" s="150"/>
      <c r="F36" s="150"/>
      <c r="G36" s="150"/>
      <c r="H36" s="150"/>
      <c r="I36" s="150"/>
      <c r="J36" s="111" t="s">
        <v>554</v>
      </c>
      <c r="K36" s="112">
        <v>0.08</v>
      </c>
      <c r="L36" s="44">
        <f>L35*K36</f>
        <v>21.62962962962963</v>
      </c>
    </row>
    <row r="37" spans="2:14" ht="20.149999999999999" customHeight="1" thickBot="1" x14ac:dyDescent="0.5">
      <c r="B37" s="11" t="s">
        <v>748</v>
      </c>
      <c r="C37" s="150"/>
      <c r="D37" s="150"/>
      <c r="E37" s="150"/>
      <c r="F37" s="150"/>
      <c r="G37" s="150"/>
      <c r="H37" s="150"/>
      <c r="I37" s="150"/>
      <c r="J37" s="478" t="s">
        <v>21</v>
      </c>
      <c r="K37" s="479"/>
      <c r="L37" s="33">
        <f>L35+L36</f>
        <v>292</v>
      </c>
    </row>
    <row r="38" spans="2:14" ht="20.149999999999999" customHeight="1" x14ac:dyDescent="0.45">
      <c r="B38" s="11" t="s">
        <v>23</v>
      </c>
      <c r="C38" s="150"/>
      <c r="D38" s="150"/>
      <c r="E38" s="150"/>
      <c r="F38" s="150"/>
      <c r="G38" s="150"/>
      <c r="H38" s="150"/>
      <c r="I38" s="150"/>
      <c r="J38" s="144"/>
      <c r="K38" s="144"/>
      <c r="L38" s="296"/>
    </row>
    <row r="39" spans="2:14" ht="20.149999999999999" customHeight="1" x14ac:dyDescent="0.45">
      <c r="B39" s="299" t="s">
        <v>749</v>
      </c>
      <c r="C39" s="144"/>
      <c r="D39" s="144"/>
      <c r="E39" s="144"/>
      <c r="F39" s="144"/>
      <c r="G39" s="144"/>
      <c r="H39" s="144"/>
      <c r="I39" s="144"/>
      <c r="J39" s="144"/>
      <c r="K39" s="144"/>
      <c r="L39" s="296"/>
    </row>
    <row r="40" spans="2:14" ht="20.149999999999999" customHeight="1" x14ac:dyDescent="0.45">
      <c r="B40" s="295"/>
      <c r="C40" s="144"/>
      <c r="D40" s="144"/>
      <c r="E40" s="144"/>
      <c r="F40" s="144"/>
      <c r="G40" s="144"/>
      <c r="H40" s="144"/>
      <c r="I40" s="144"/>
      <c r="J40" s="144"/>
      <c r="K40" s="144"/>
      <c r="L40" s="296"/>
    </row>
    <row r="41" spans="2:14" ht="20.149999999999999" customHeight="1" x14ac:dyDescent="0.45">
      <c r="B41" s="295"/>
      <c r="C41" s="144"/>
      <c r="D41" s="144"/>
      <c r="E41" s="144"/>
      <c r="F41" s="144"/>
      <c r="G41" s="144"/>
      <c r="H41" s="144"/>
      <c r="I41" s="144"/>
      <c r="J41" s="144"/>
      <c r="K41" s="144"/>
      <c r="L41" s="296"/>
    </row>
    <row r="42" spans="2:14" ht="20.149999999999999" customHeight="1" x14ac:dyDescent="0.45">
      <c r="B42" s="295"/>
      <c r="C42" s="144"/>
      <c r="D42" s="144"/>
      <c r="E42" s="144"/>
      <c r="F42" s="144"/>
      <c r="G42" s="144"/>
      <c r="H42" s="144"/>
      <c r="I42" s="144"/>
      <c r="J42" s="144"/>
      <c r="K42" s="144"/>
      <c r="L42" s="296"/>
    </row>
    <row r="43" spans="2:14" ht="20.149999999999999" customHeight="1" x14ac:dyDescent="0.45">
      <c r="B43" s="300"/>
      <c r="C43" s="151"/>
      <c r="D43" s="151"/>
      <c r="E43" s="144"/>
      <c r="F43" s="144"/>
      <c r="G43" s="144"/>
      <c r="H43" s="144"/>
      <c r="I43" s="144"/>
      <c r="J43" s="151"/>
      <c r="K43" s="151"/>
      <c r="L43" s="301"/>
    </row>
    <row r="44" spans="2:14" ht="20.149999999999999" customHeight="1" x14ac:dyDescent="0.45">
      <c r="B44" s="28" t="s">
        <v>24</v>
      </c>
      <c r="C44" s="144"/>
      <c r="D44" s="144"/>
      <c r="E44" s="144"/>
      <c r="F44" s="144"/>
      <c r="G44" s="144"/>
      <c r="H44" s="144"/>
      <c r="I44" s="144"/>
      <c r="J44" s="60" t="s">
        <v>25</v>
      </c>
      <c r="K44" s="144"/>
      <c r="L44" s="296"/>
    </row>
    <row r="45" spans="2:14" ht="19" thickBot="1" x14ac:dyDescent="0.5">
      <c r="B45" s="302"/>
      <c r="C45" s="152"/>
      <c r="D45" s="152"/>
      <c r="E45" s="152"/>
      <c r="F45" s="152"/>
      <c r="G45" s="152"/>
      <c r="H45" s="152"/>
      <c r="I45" s="152"/>
      <c r="J45" s="152"/>
      <c r="K45" s="152"/>
      <c r="L45" s="303"/>
    </row>
    <row r="46" spans="2:14" ht="20.5" x14ac:dyDescent="0.45">
      <c r="F46" s="317"/>
    </row>
  </sheetData>
  <mergeCells count="43">
    <mergeCell ref="D24:F24"/>
    <mergeCell ref="I24:J24"/>
    <mergeCell ref="I23:J23"/>
    <mergeCell ref="D23:F23"/>
    <mergeCell ref="D25:F25"/>
    <mergeCell ref="D29:F29"/>
    <mergeCell ref="I25:J25"/>
    <mergeCell ref="I29:J29"/>
    <mergeCell ref="J37:K37"/>
    <mergeCell ref="D31:F31"/>
    <mergeCell ref="J33:K33"/>
    <mergeCell ref="J35:K35"/>
    <mergeCell ref="D26:F26"/>
    <mergeCell ref="D27:F27"/>
    <mergeCell ref="D28:F28"/>
    <mergeCell ref="I26:J26"/>
    <mergeCell ref="I27:J27"/>
    <mergeCell ref="I28:J28"/>
    <mergeCell ref="D22:F22"/>
    <mergeCell ref="I22:J22"/>
    <mergeCell ref="D18:F18"/>
    <mergeCell ref="I18:J18"/>
    <mergeCell ref="D19:F19"/>
    <mergeCell ref="I19:J19"/>
    <mergeCell ref="D20:F20"/>
    <mergeCell ref="I20:J20"/>
    <mergeCell ref="D21:F21"/>
    <mergeCell ref="I21:J21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30">
    <cfRule type="duplicateValues" dxfId="83" priority="1"/>
  </conditionalFormatting>
  <pageMargins left="0.70866141732283472" right="0.31496062992125984" top="0.23622047244094491" bottom="0.23622047244094491" header="0.23622047244094491" footer="7.874015748031496E-2"/>
  <pageSetup paperSize="9" scale="76" fitToHeight="0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D58A5-E8BE-413A-AC6A-4378B4072EFA}">
  <sheetPr codeName="Sheet3">
    <tabColor rgb="FFFFC000"/>
    <pageSetUpPr fitToPage="1"/>
  </sheetPr>
  <dimension ref="B1:W51"/>
  <sheetViews>
    <sheetView topLeftCell="A23"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6328125" style="60" customWidth="1"/>
    <col min="7" max="7" width="8.54296875" style="60" customWidth="1"/>
    <col min="8" max="8" width="13.90625" style="69" customWidth="1"/>
    <col min="9" max="9" width="2.54296875" style="60" customWidth="1"/>
    <col min="10" max="10" width="15.54296875" style="69" customWidth="1"/>
    <col min="11" max="11" width="10.54296875" style="60" customWidth="1"/>
    <col min="12" max="16384" width="12.54296875" style="60"/>
  </cols>
  <sheetData>
    <row r="1" spans="2:18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8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8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8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8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8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8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8" ht="24.5" customHeight="1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8" ht="21.65" customHeight="1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467</v>
      </c>
      <c r="J10" s="309" t="s">
        <v>26</v>
      </c>
      <c r="K10" s="455">
        <v>202310510</v>
      </c>
      <c r="L10" s="456"/>
      <c r="N10" s="60">
        <v>1.8</v>
      </c>
    </row>
    <row r="11" spans="2:18" ht="20.149999999999999" customHeight="1" x14ac:dyDescent="0.45">
      <c r="B11" s="457" t="s">
        <v>753</v>
      </c>
      <c r="C11" s="458"/>
      <c r="D11" s="459"/>
      <c r="E11" s="61"/>
      <c r="F11" s="444" t="str">
        <f>VLOOKUP(H10,'Delivery Location'!A$4:N$423,2,0)</f>
        <v>Ke Lao Hello Dessert                               Blk 448 Clementi Ave 3，#01-29 Singapore 120448</v>
      </c>
      <c r="G11" s="445"/>
      <c r="H11" s="446"/>
      <c r="J11" s="310" t="s">
        <v>9</v>
      </c>
      <c r="K11" s="460">
        <v>45220</v>
      </c>
      <c r="L11" s="461"/>
    </row>
    <row r="12" spans="2:18" ht="20.149999999999999" customHeight="1" x14ac:dyDescent="0.45">
      <c r="B12" s="462" t="s">
        <v>752</v>
      </c>
      <c r="C12" s="463"/>
      <c r="D12" s="464"/>
      <c r="E12" s="61"/>
      <c r="F12" s="447"/>
      <c r="G12" s="448"/>
      <c r="H12" s="449"/>
      <c r="J12" s="310" t="s">
        <v>81</v>
      </c>
      <c r="K12" s="465" t="s">
        <v>312</v>
      </c>
      <c r="L12" s="466"/>
    </row>
    <row r="13" spans="2:18" ht="20.149999999999999" customHeight="1" x14ac:dyDescent="0.45">
      <c r="B13" s="462" t="s">
        <v>751</v>
      </c>
      <c r="C13" s="463"/>
      <c r="D13" s="464"/>
      <c r="E13" s="61"/>
      <c r="F13" s="447"/>
      <c r="G13" s="448"/>
      <c r="H13" s="449"/>
      <c r="J13" s="310" t="s">
        <v>10</v>
      </c>
      <c r="K13" s="465" t="s">
        <v>83</v>
      </c>
      <c r="L13" s="466"/>
      <c r="N13" s="437" t="s">
        <v>1284</v>
      </c>
      <c r="O13" s="437"/>
      <c r="P13" s="437"/>
      <c r="Q13" s="437"/>
      <c r="R13" s="437"/>
    </row>
    <row r="14" spans="2:18" ht="20.149999999999999" customHeight="1" x14ac:dyDescent="0.45">
      <c r="B14" s="462"/>
      <c r="C14" s="463"/>
      <c r="D14" s="464"/>
      <c r="E14" s="61"/>
      <c r="F14" s="447"/>
      <c r="G14" s="448"/>
      <c r="H14" s="449"/>
      <c r="J14" s="310" t="s">
        <v>27</v>
      </c>
      <c r="K14" s="465" t="s">
        <v>14</v>
      </c>
      <c r="L14" s="466"/>
    </row>
    <row r="15" spans="2:18" ht="18" customHeight="1" thickBot="1" x14ac:dyDescent="0.5">
      <c r="B15" s="467"/>
      <c r="C15" s="468"/>
      <c r="D15" s="469"/>
      <c r="E15" s="14"/>
      <c r="F15" s="450"/>
      <c r="G15" s="451"/>
      <c r="H15" s="452"/>
      <c r="J15" s="311" t="s">
        <v>11</v>
      </c>
      <c r="K15" s="167" t="s">
        <v>620</v>
      </c>
      <c r="L15" s="138"/>
    </row>
    <row r="16" spans="2:18" ht="19" thickBot="1" x14ac:dyDescent="0.5"/>
    <row r="17" spans="2:23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306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3" ht="20.149999999999999" customHeight="1" x14ac:dyDescent="0.45">
      <c r="B18" s="21"/>
      <c r="C18" s="338" t="s">
        <v>820</v>
      </c>
      <c r="D18" s="430" t="str">
        <f>VLOOKUP(C18,'Sales Master'!B$3:D$644,2,0)</f>
        <v>Durian Puree 榴莲浆</v>
      </c>
      <c r="E18" s="430"/>
      <c r="F18" s="430"/>
      <c r="G18" s="99">
        <v>2</v>
      </c>
      <c r="H18" s="241" t="str">
        <f>VLOOKUP(C18,'Sales Master'!B$3:F$936,5,0)</f>
        <v>Box/盒</v>
      </c>
      <c r="I18" s="432" t="str">
        <f>VLOOKUP(C18,'Sales Master'!B$3:E$936,4,0)</f>
        <v>DO!</v>
      </c>
      <c r="J18" s="432"/>
      <c r="K18" s="22">
        <f>VLOOKUP(C18,'Sales Master'!B$3:AY$527,50,0)</f>
        <v>9</v>
      </c>
      <c r="L18" s="71">
        <f t="shared" ref="L18" si="0">K18*G18</f>
        <v>18</v>
      </c>
      <c r="N18" s="247">
        <f>VLOOKUP(C18,'Sales Master'!$B$3:$FA$3051,156,0)</f>
        <v>4.71</v>
      </c>
      <c r="O18" s="247">
        <f t="shared" ref="O18" si="1">K18-N18</f>
        <v>4.29</v>
      </c>
      <c r="P18" s="247">
        <f t="shared" ref="P18" si="2">O18*G18</f>
        <v>8.58</v>
      </c>
      <c r="S18" s="60" t="s">
        <v>33</v>
      </c>
      <c r="T18" s="60" t="s">
        <v>48</v>
      </c>
      <c r="V18" s="60">
        <v>18</v>
      </c>
      <c r="W18" s="60">
        <v>18</v>
      </c>
    </row>
    <row r="19" spans="2:23" ht="20.149999999999999" customHeight="1" x14ac:dyDescent="0.45">
      <c r="B19" s="21"/>
      <c r="C19" s="338" t="s">
        <v>821</v>
      </c>
      <c r="D19" s="430" t="str">
        <f>VLOOKUP(C19,'Sales Master'!B$3:D$644,2,0)</f>
        <v>Mango Puree 芒果浆</v>
      </c>
      <c r="E19" s="430"/>
      <c r="F19" s="430"/>
      <c r="G19" s="99">
        <v>1</v>
      </c>
      <c r="H19" s="241" t="str">
        <f>VLOOKUP(C19,'Sales Master'!B$3:F$936,5,0)</f>
        <v>Box/盒</v>
      </c>
      <c r="I19" s="432" t="str">
        <f>VLOOKUP(C19,'Sales Master'!B$3:E$936,4,0)</f>
        <v>DO!</v>
      </c>
      <c r="J19" s="432"/>
      <c r="K19" s="22">
        <f>VLOOKUP(C19,'Sales Master'!B$3:AY$527,50,0)</f>
        <v>9</v>
      </c>
      <c r="L19" s="71">
        <f>K19*G19</f>
        <v>9</v>
      </c>
      <c r="N19" s="247">
        <f>VLOOKUP(C19,'Sales Master'!$B$3:$FA$3051,156,0)</f>
        <v>2.15</v>
      </c>
      <c r="O19" s="247">
        <f>K19-N19</f>
        <v>6.85</v>
      </c>
      <c r="P19" s="247">
        <f>O19*G19</f>
        <v>6.85</v>
      </c>
    </row>
    <row r="20" spans="2:23" ht="20.149999999999999" customHeight="1" x14ac:dyDescent="0.45">
      <c r="B20" s="21"/>
      <c r="C20" s="338" t="s">
        <v>849</v>
      </c>
      <c r="D20" s="430" t="str">
        <f>VLOOKUP(C20,'Sales Master'!B$3:D$644,2,0)</f>
        <v>Tadpole 蝌蚪</v>
      </c>
      <c r="E20" s="430"/>
      <c r="F20" s="430"/>
      <c r="G20" s="99">
        <v>1</v>
      </c>
      <c r="H20" s="241" t="str">
        <f>VLOOKUP(C20,'Sales Master'!B$3:F$936,5,0)</f>
        <v>1 kg/Bag</v>
      </c>
      <c r="I20" s="432" t="str">
        <f>VLOOKUP(C20,'Sales Master'!B$3:E$936,4,0)</f>
        <v>FJ</v>
      </c>
      <c r="J20" s="432"/>
      <c r="K20" s="22">
        <f>VLOOKUP(C20,'Sales Master'!B$3:AY$527,50,0)</f>
        <v>6.5</v>
      </c>
      <c r="L20" s="71">
        <f>K20*G20</f>
        <v>6.5</v>
      </c>
      <c r="N20" s="247">
        <f>VLOOKUP(C20,'Sales Master'!$B$3:$FA$3051,156,0)</f>
        <v>5.5</v>
      </c>
      <c r="O20" s="247">
        <f>K20-N20</f>
        <v>1</v>
      </c>
      <c r="P20" s="247">
        <f>O20*G20</f>
        <v>1</v>
      </c>
    </row>
    <row r="21" spans="2:23" ht="20.149999999999999" customHeight="1" x14ac:dyDescent="0.45">
      <c r="B21" s="21"/>
      <c r="C21" s="338" t="s">
        <v>903</v>
      </c>
      <c r="D21" s="430" t="str">
        <f>VLOOKUP(C21,'Sales Master'!B$3:D$644,2,0)</f>
        <v>Potato Starch 风车粉</v>
      </c>
      <c r="E21" s="430"/>
      <c r="F21" s="430"/>
      <c r="G21" s="99">
        <v>0</v>
      </c>
      <c r="H21" s="241" t="str">
        <f>VLOOKUP(C21,'Sales Master'!B$3:F$936,5,0)</f>
        <v>5 kg</v>
      </c>
      <c r="I21" s="432" t="str">
        <f>VLOOKUP(C21,'Sales Master'!B$3:E$936,4,0)</f>
        <v>RE-PACK</v>
      </c>
      <c r="J21" s="432"/>
      <c r="K21" s="22">
        <f>VLOOKUP(C21,'Sales Master'!B$3:AY$527,50,0)</f>
        <v>15</v>
      </c>
      <c r="L21" s="71">
        <f>K21*G21</f>
        <v>0</v>
      </c>
      <c r="N21" s="247">
        <f>VLOOKUP(C21,'Sales Master'!$B$3:$FA$3051,156,0)</f>
        <v>8</v>
      </c>
      <c r="O21" s="247">
        <f>K21-N21</f>
        <v>7</v>
      </c>
      <c r="P21" s="247">
        <f>O21*G21</f>
        <v>0</v>
      </c>
    </row>
    <row r="22" spans="2:23" ht="20.149999999999999" customHeight="1" x14ac:dyDescent="0.45">
      <c r="B22" s="21"/>
      <c r="C22" s="338" t="s">
        <v>924</v>
      </c>
      <c r="D22" s="430" t="str">
        <f>VLOOKUP(C22,'Sales Master'!B$3:D$644,2,0)</f>
        <v>Red Bean 红豆</v>
      </c>
      <c r="E22" s="430"/>
      <c r="F22" s="430"/>
      <c r="G22" s="99">
        <v>3</v>
      </c>
      <c r="H22" s="241" t="str">
        <f>VLOOKUP(C22,'Sales Master'!B$3:F$936,5,0)</f>
        <v>5 kgs</v>
      </c>
      <c r="I22" s="432" t="str">
        <f>VLOOKUP(C22,'Sales Master'!B$3:E$936,4,0)</f>
        <v>-</v>
      </c>
      <c r="J22" s="432"/>
      <c r="K22" s="22">
        <f>VLOOKUP(C22,'Sales Master'!B$3:AY$527,50,0)</f>
        <v>19</v>
      </c>
      <c r="L22" s="71">
        <f t="shared" ref="L22:L27" si="3">K22*G22</f>
        <v>57</v>
      </c>
      <c r="N22" s="247">
        <f>VLOOKUP(C22,'Sales Master'!$B$3:$FA$3051,156,0)</f>
        <v>13.5</v>
      </c>
      <c r="O22" s="247">
        <f t="shared" ref="O22:O27" si="4">K22-N22</f>
        <v>5.5</v>
      </c>
      <c r="P22" s="247">
        <f t="shared" ref="P22:P27" si="5">O22*G22</f>
        <v>16.5</v>
      </c>
    </row>
    <row r="23" spans="2:23" ht="20.149999999999999" customHeight="1" x14ac:dyDescent="0.45">
      <c r="B23" s="21"/>
      <c r="C23" s="338" t="s">
        <v>937</v>
      </c>
      <c r="D23" s="430" t="str">
        <f>VLOOKUP(C23,'Sales Master'!B$3:D$644,2,0)</f>
        <v>Green Bean 绿豆</v>
      </c>
      <c r="E23" s="430"/>
      <c r="F23" s="430"/>
      <c r="G23" s="99">
        <v>1</v>
      </c>
      <c r="H23" s="241" t="str">
        <f>VLOOKUP(C23,'Sales Master'!B$3:F$936,5,0)</f>
        <v>5 KGS</v>
      </c>
      <c r="I23" s="432" t="str">
        <f>VLOOKUP(C23,'Sales Master'!B$3:E$936,4,0)</f>
        <v>-</v>
      </c>
      <c r="J23" s="432"/>
      <c r="K23" s="22">
        <f>VLOOKUP(C23,'Sales Master'!B$3:AY$527,50,0)</f>
        <v>14</v>
      </c>
      <c r="L23" s="71">
        <f t="shared" si="3"/>
        <v>14</v>
      </c>
      <c r="N23" s="247">
        <f>VLOOKUP(C23,'Sales Master'!$B$3:$FA$3051,156,0)</f>
        <v>9.7199999999999989</v>
      </c>
      <c r="O23" s="247">
        <f t="shared" si="4"/>
        <v>4.2800000000000011</v>
      </c>
      <c r="P23" s="247">
        <f t="shared" si="5"/>
        <v>4.2800000000000011</v>
      </c>
    </row>
    <row r="24" spans="2:23" ht="20.149999999999999" customHeight="1" x14ac:dyDescent="0.45">
      <c r="B24" s="21"/>
      <c r="C24" s="338" t="s">
        <v>943</v>
      </c>
      <c r="D24" s="430" t="str">
        <f>VLOOKUP(C24,'Sales Master'!B$3:D$644,2,0)</f>
        <v>Split Green Mung Bean 豆爽</v>
      </c>
      <c r="E24" s="430"/>
      <c r="F24" s="430"/>
      <c r="G24" s="99">
        <v>1</v>
      </c>
      <c r="H24" s="241" t="str">
        <f>VLOOKUP(C24,'Sales Master'!B$3:F$936,5,0)</f>
        <v>5 KG</v>
      </c>
      <c r="I24" s="432" t="str">
        <f>VLOOKUP(C24,'Sales Master'!B$3:E$936,4,0)</f>
        <v>SW</v>
      </c>
      <c r="J24" s="432"/>
      <c r="K24" s="22">
        <f>VLOOKUP(C24,'Sales Master'!B$3:AY$527,50,0)</f>
        <v>17</v>
      </c>
      <c r="L24" s="71">
        <f>K24*G24</f>
        <v>17</v>
      </c>
      <c r="N24" s="247">
        <f>VLOOKUP(C24,'Sales Master'!$B$3:$FA$3051,156,0)</f>
        <v>14.040000000000001</v>
      </c>
      <c r="O24" s="247">
        <f>K24-N24</f>
        <v>2.9599999999999991</v>
      </c>
      <c r="P24" s="247">
        <f>O24*G24</f>
        <v>2.9599999999999991</v>
      </c>
    </row>
    <row r="25" spans="2:23" ht="20.149999999999999" customHeight="1" x14ac:dyDescent="0.45">
      <c r="B25" s="21"/>
      <c r="C25" s="338" t="s">
        <v>968</v>
      </c>
      <c r="D25" s="430" t="str">
        <f>VLOOKUP(C25,'Sales Master'!B$3:D$644,2,0)</f>
        <v>Dried Longan 龙眼干</v>
      </c>
      <c r="E25" s="430"/>
      <c r="F25" s="430"/>
      <c r="G25" s="99">
        <v>3</v>
      </c>
      <c r="H25" s="241" t="str">
        <f>VLOOKUP(C25,'Sales Master'!B$3:F$936,5,0)</f>
        <v>1 kg</v>
      </c>
      <c r="I25" s="432" t="str">
        <f>VLOOKUP(C25,'Sales Master'!B$3:E$936,4,0)</f>
        <v>AAA</v>
      </c>
      <c r="J25" s="432"/>
      <c r="K25" s="22">
        <f>VLOOKUP(C25,'Sales Master'!B$3:AY$527,50,0)</f>
        <v>13</v>
      </c>
      <c r="L25" s="71">
        <f t="shared" si="3"/>
        <v>39</v>
      </c>
      <c r="N25" s="247">
        <f>VLOOKUP(C25,'Sales Master'!$B$3:$FA$3051,156,0)</f>
        <v>8.8000000000000007</v>
      </c>
      <c r="O25" s="247">
        <f t="shared" si="4"/>
        <v>4.1999999999999993</v>
      </c>
      <c r="P25" s="247">
        <f t="shared" si="5"/>
        <v>12.599999999999998</v>
      </c>
    </row>
    <row r="26" spans="2:23" ht="20.149999999999999" customHeight="1" x14ac:dyDescent="0.45">
      <c r="B26" s="21"/>
      <c r="C26" s="338" t="s">
        <v>859</v>
      </c>
      <c r="D26" s="430" t="str">
        <f>VLOOKUP(C26,'Sales Master'!B$3:D$644,2,0)</f>
        <v>Food Coloring - Liquid) 颜色水</v>
      </c>
      <c r="E26" s="430"/>
      <c r="F26" s="430"/>
      <c r="G26" s="99">
        <v>1</v>
      </c>
      <c r="H26" s="241" t="str">
        <f>VLOOKUP(C26,'Sales Master'!B$3:F$936,5,0)</f>
        <v>500 ML/ Btl支</v>
      </c>
      <c r="I26" s="432" t="str">
        <f>VLOOKUP(C26,'Sales Master'!B$3:E$936,4,0)</f>
        <v>Red/红</v>
      </c>
      <c r="J26" s="432"/>
      <c r="K26" s="22">
        <f>VLOOKUP(C26,'Sales Master'!B$3:AY$527,50,0)</f>
        <v>2.5</v>
      </c>
      <c r="L26" s="71">
        <f t="shared" si="3"/>
        <v>2.5</v>
      </c>
      <c r="N26" s="247">
        <f>VLOOKUP(C26,'Sales Master'!$B$3:$FA$3051,156,0)</f>
        <v>1.9872000000000001</v>
      </c>
      <c r="O26" s="247">
        <f t="shared" si="4"/>
        <v>0.51279999999999992</v>
      </c>
      <c r="P26" s="247">
        <f t="shared" si="5"/>
        <v>0.51279999999999992</v>
      </c>
    </row>
    <row r="27" spans="2:23" ht="20.149999999999999" customHeight="1" x14ac:dyDescent="0.45">
      <c r="B27" s="21"/>
      <c r="C27" s="338" t="s">
        <v>1106</v>
      </c>
      <c r="D27" s="430" t="str">
        <f>VLOOKUP(C27,'Sales Master'!B$3:D$644,2,0)</f>
        <v>Food Coloring - Liquid) 颜色水</v>
      </c>
      <c r="E27" s="430"/>
      <c r="F27" s="430"/>
      <c r="G27" s="99">
        <v>1</v>
      </c>
      <c r="H27" s="241" t="str">
        <f>VLOOKUP(C27,'Sales Master'!B$3:F$936,5,0)</f>
        <v>500 ML/ Btl支</v>
      </c>
      <c r="I27" s="432" t="str">
        <f>VLOOKUP(C27,'Sales Master'!B$3:E$936,4,0)</f>
        <v>Green/青</v>
      </c>
      <c r="J27" s="432"/>
      <c r="K27" s="22">
        <f>VLOOKUP(C27,'Sales Master'!B$3:AY$527,50,0)</f>
        <v>2.5</v>
      </c>
      <c r="L27" s="71">
        <f t="shared" si="3"/>
        <v>2.5</v>
      </c>
      <c r="N27" s="247">
        <f>VLOOKUP(C27,'Sales Master'!$B$3:$FA$3051,156,0)</f>
        <v>1.9872000000000001</v>
      </c>
      <c r="O27" s="247">
        <f t="shared" si="4"/>
        <v>0.51279999999999992</v>
      </c>
      <c r="P27" s="247">
        <f t="shared" si="5"/>
        <v>0.51279999999999992</v>
      </c>
    </row>
    <row r="28" spans="2:23" ht="20.149999999999999" customHeight="1" x14ac:dyDescent="0.45">
      <c r="B28" s="21"/>
      <c r="C28" s="338"/>
      <c r="D28" s="430"/>
      <c r="E28" s="430"/>
      <c r="F28" s="430"/>
      <c r="G28" s="99"/>
      <c r="H28" s="241"/>
      <c r="I28" s="432"/>
      <c r="J28" s="432"/>
      <c r="K28" s="22"/>
      <c r="L28" s="71"/>
      <c r="N28" s="247"/>
      <c r="O28" s="247"/>
      <c r="P28" s="247"/>
    </row>
    <row r="29" spans="2:23" ht="20.149999999999999" customHeight="1" x14ac:dyDescent="0.45">
      <c r="B29" s="21"/>
      <c r="C29" s="338"/>
      <c r="D29" s="430"/>
      <c r="E29" s="430"/>
      <c r="F29" s="430"/>
      <c r="G29" s="99"/>
      <c r="H29" s="241"/>
      <c r="I29" s="432"/>
      <c r="J29" s="432"/>
      <c r="K29" s="22"/>
      <c r="L29" s="71"/>
      <c r="N29" s="247"/>
      <c r="O29" s="247"/>
      <c r="P29" s="247"/>
    </row>
    <row r="30" spans="2:23" ht="20.149999999999999" customHeight="1" x14ac:dyDescent="0.45">
      <c r="B30" s="21"/>
      <c r="C30" s="338"/>
      <c r="D30" s="430"/>
      <c r="E30" s="430"/>
      <c r="F30" s="430"/>
      <c r="G30" s="99"/>
      <c r="H30" s="241"/>
      <c r="I30" s="432"/>
      <c r="J30" s="432"/>
      <c r="K30" s="22"/>
      <c r="L30" s="71"/>
      <c r="N30" s="247"/>
      <c r="O30" s="247"/>
      <c r="P30" s="247"/>
    </row>
    <row r="31" spans="2:23" ht="20.149999999999999" customHeight="1" x14ac:dyDescent="0.45">
      <c r="B31" s="21"/>
      <c r="D31" s="69"/>
      <c r="E31" s="69"/>
      <c r="F31" s="69"/>
      <c r="G31" s="99"/>
      <c r="H31" s="241"/>
      <c r="I31" s="322"/>
      <c r="J31" s="322"/>
      <c r="K31" s="22"/>
      <c r="L31" s="71"/>
      <c r="N31" s="247"/>
      <c r="O31" s="247"/>
      <c r="P31" s="247"/>
    </row>
    <row r="32" spans="2:23" ht="20.149999999999999" customHeight="1" x14ac:dyDescent="0.45">
      <c r="B32" s="21"/>
      <c r="C32" s="305" t="s">
        <v>1708</v>
      </c>
      <c r="G32" s="233"/>
      <c r="H32" s="241"/>
      <c r="I32" s="65"/>
      <c r="J32" s="241"/>
      <c r="K32" s="22"/>
      <c r="L32" s="71"/>
      <c r="N32" s="247"/>
      <c r="O32" s="247"/>
      <c r="P32" s="247"/>
    </row>
    <row r="33" spans="2:16" ht="20.149999999999999" customHeight="1" x14ac:dyDescent="0.45">
      <c r="B33" s="21"/>
      <c r="C33" s="338" t="s">
        <v>820</v>
      </c>
      <c r="D33" s="430" t="str">
        <f>VLOOKUP(C33,'Sales Master'!B$3:D$644,2,0)</f>
        <v>Durian Puree 榴莲浆</v>
      </c>
      <c r="E33" s="430"/>
      <c r="F33" s="430"/>
      <c r="G33" s="99">
        <v>1</v>
      </c>
      <c r="H33" s="241" t="str">
        <f>VLOOKUP(C33,'Sales Master'!B$3:F$936,5,0)</f>
        <v>Box/盒</v>
      </c>
      <c r="I33" s="432" t="str">
        <f>VLOOKUP(C33,'Sales Master'!B$3:E$936,4,0)</f>
        <v>DO!</v>
      </c>
      <c r="J33" s="432"/>
      <c r="K33" s="22">
        <v>9</v>
      </c>
      <c r="L33" s="71"/>
      <c r="N33" s="247"/>
      <c r="O33" s="247"/>
      <c r="P33" s="247"/>
    </row>
    <row r="34" spans="2:16" ht="20.149999999999999" customHeight="1" x14ac:dyDescent="0.45">
      <c r="B34" s="21"/>
      <c r="C34" s="338" t="s">
        <v>821</v>
      </c>
      <c r="D34" s="430" t="str">
        <f>VLOOKUP(C34,'Sales Master'!B$3:D$644,2,0)</f>
        <v>Mango Puree 芒果浆</v>
      </c>
      <c r="E34" s="430"/>
      <c r="F34" s="430"/>
      <c r="G34" s="99">
        <v>1</v>
      </c>
      <c r="H34" s="241" t="str">
        <f>VLOOKUP(C34,'Sales Master'!B$3:F$936,5,0)</f>
        <v>Box/盒</v>
      </c>
      <c r="I34" s="432" t="str">
        <f>VLOOKUP(C34,'Sales Master'!B$3:E$936,4,0)</f>
        <v>DO!</v>
      </c>
      <c r="J34" s="432"/>
      <c r="K34" s="22">
        <v>9</v>
      </c>
      <c r="L34" s="236"/>
    </row>
    <row r="35" spans="2:16" ht="20.149999999999999" customHeight="1" x14ac:dyDescent="0.45">
      <c r="B35" s="21"/>
      <c r="C35" s="338" t="s">
        <v>830</v>
      </c>
      <c r="D35" s="430" t="str">
        <f>VLOOKUP(C35,'Sales Master'!B$3:D$644,2,0)</f>
        <v>Bobo ChaCha Cubes 摩摩喳喳</v>
      </c>
      <c r="E35" s="430"/>
      <c r="F35" s="430"/>
      <c r="G35" s="99">
        <v>1</v>
      </c>
      <c r="H35" s="241" t="str">
        <f>VLOOKUP(C35,'Sales Master'!B$3:F$936,5,0)</f>
        <v>800 GM/ Bag包</v>
      </c>
      <c r="I35" s="432" t="str">
        <f>VLOOKUP(C35,'Sales Master'!B$3:E$936,4,0)</f>
        <v>DO!</v>
      </c>
      <c r="J35" s="432"/>
      <c r="K35" s="22">
        <v>8.5</v>
      </c>
      <c r="L35" s="236"/>
    </row>
    <row r="36" spans="2:16" ht="20.149999999999999" customHeight="1" thickBot="1" x14ac:dyDescent="0.5">
      <c r="B36" s="24"/>
      <c r="C36" s="25"/>
      <c r="D36" s="473"/>
      <c r="E36" s="473"/>
      <c r="F36" s="473"/>
      <c r="G36" s="25"/>
      <c r="H36" s="307"/>
      <c r="I36" s="66"/>
      <c r="J36" s="307"/>
      <c r="K36" s="26"/>
      <c r="L36" s="27"/>
    </row>
    <row r="37" spans="2:16" ht="20.149999999999999" customHeight="1" thickBot="1" x14ac:dyDescent="0.5">
      <c r="B37" s="28"/>
      <c r="L37" s="29"/>
    </row>
    <row r="38" spans="2:16" ht="20.149999999999999" customHeight="1" x14ac:dyDescent="0.45">
      <c r="B38" s="11" t="s">
        <v>16</v>
      </c>
      <c r="C38" s="10"/>
      <c r="D38" s="10"/>
      <c r="E38" s="10"/>
      <c r="F38" s="10"/>
      <c r="G38" s="10"/>
      <c r="H38" s="308"/>
      <c r="I38" s="10"/>
      <c r="J38" s="474" t="s">
        <v>13</v>
      </c>
      <c r="K38" s="475"/>
      <c r="L38" s="30">
        <f>SUM(L17:L37)</f>
        <v>165.5</v>
      </c>
      <c r="M38" s="95">
        <f>SUM(P18:P36)-L38*0.02</f>
        <v>50.485599999999991</v>
      </c>
      <c r="N38" s="405">
        <f>M38-L39</f>
        <v>38.226340740740731</v>
      </c>
    </row>
    <row r="39" spans="2:16" ht="20.149999999999999" customHeight="1" x14ac:dyDescent="0.45">
      <c r="B39" s="11" t="s">
        <v>17</v>
      </c>
      <c r="C39" s="10"/>
      <c r="D39" s="10"/>
      <c r="E39" s="10"/>
      <c r="F39" s="10"/>
      <c r="G39" s="10"/>
      <c r="H39" s="308"/>
      <c r="I39" s="10"/>
      <c r="J39" s="110" t="s">
        <v>553</v>
      </c>
      <c r="K39" s="113">
        <v>6.54E-2</v>
      </c>
      <c r="L39" s="32">
        <f>L41</f>
        <v>12.25925925925926</v>
      </c>
    </row>
    <row r="40" spans="2:16" ht="20.149999999999999" customHeight="1" x14ac:dyDescent="0.45">
      <c r="B40" s="11" t="s">
        <v>18</v>
      </c>
      <c r="C40" s="10"/>
      <c r="D40" s="10"/>
      <c r="E40" s="10"/>
      <c r="F40" s="10"/>
      <c r="G40" s="10"/>
      <c r="H40" s="308"/>
      <c r="I40" s="10"/>
      <c r="J40" s="476" t="s">
        <v>555</v>
      </c>
      <c r="K40" s="477"/>
      <c r="L40" s="114">
        <f>L38/108*100</f>
        <v>153.24074074074073</v>
      </c>
    </row>
    <row r="41" spans="2:16" ht="20.149999999999999" customHeight="1" x14ac:dyDescent="0.45">
      <c r="B41" s="11" t="s">
        <v>22</v>
      </c>
      <c r="C41" s="10"/>
      <c r="D41" s="10"/>
      <c r="E41" s="10"/>
      <c r="F41" s="10"/>
      <c r="G41" s="10"/>
      <c r="H41" s="308"/>
      <c r="I41" s="10"/>
      <c r="J41" s="110" t="s">
        <v>554</v>
      </c>
      <c r="K41" s="112">
        <v>0.08</v>
      </c>
      <c r="L41" s="44">
        <f>L40*K41</f>
        <v>12.25925925925926</v>
      </c>
    </row>
    <row r="42" spans="2:16" ht="20.149999999999999" customHeight="1" thickBot="1" x14ac:dyDescent="0.5">
      <c r="B42" s="11" t="s">
        <v>748</v>
      </c>
      <c r="C42" s="10"/>
      <c r="D42" s="10"/>
      <c r="E42" s="10"/>
      <c r="F42" s="10"/>
      <c r="G42" s="10"/>
      <c r="H42" s="308"/>
      <c r="I42" s="10"/>
      <c r="J42" s="478" t="s">
        <v>21</v>
      </c>
      <c r="K42" s="479"/>
      <c r="L42" s="33">
        <f>L40+L41</f>
        <v>165.5</v>
      </c>
    </row>
    <row r="43" spans="2:16" ht="20.149999999999999" customHeight="1" x14ac:dyDescent="0.45">
      <c r="B43" s="11" t="s">
        <v>23</v>
      </c>
      <c r="C43" s="10"/>
      <c r="D43" s="10"/>
      <c r="E43" s="10"/>
      <c r="F43" s="10"/>
      <c r="G43" s="10"/>
      <c r="H43" s="308"/>
      <c r="I43" s="10"/>
      <c r="K43" s="243"/>
      <c r="L43" s="244"/>
    </row>
    <row r="44" spans="2:16" ht="20.149999999999999" customHeight="1" x14ac:dyDescent="0.45">
      <c r="B44" s="183" t="s">
        <v>749</v>
      </c>
      <c r="L44" s="244"/>
    </row>
    <row r="45" spans="2:16" ht="20.149999999999999" customHeight="1" x14ac:dyDescent="0.45">
      <c r="B45" s="28"/>
      <c r="L45" s="244"/>
    </row>
    <row r="46" spans="2:16" ht="20.149999999999999" customHeight="1" x14ac:dyDescent="0.45">
      <c r="B46" s="28"/>
      <c r="L46" s="244"/>
    </row>
    <row r="47" spans="2:16" ht="20.149999999999999" customHeight="1" x14ac:dyDescent="0.45">
      <c r="B47" s="28"/>
      <c r="J47" s="440"/>
      <c r="K47" s="440"/>
      <c r="L47" s="263"/>
    </row>
    <row r="48" spans="2:16" ht="20.149999999999999" customHeight="1" x14ac:dyDescent="0.45">
      <c r="B48" s="34"/>
      <c r="C48" s="35"/>
      <c r="D48" s="35"/>
      <c r="J48" s="186"/>
      <c r="K48" s="35"/>
      <c r="L48" s="36"/>
    </row>
    <row r="49" spans="2:12" ht="20.149999999999999" customHeight="1" x14ac:dyDescent="0.45">
      <c r="B49" s="28" t="s">
        <v>24</v>
      </c>
      <c r="J49" s="69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73"/>
      <c r="I50" s="62"/>
      <c r="J50" s="73"/>
      <c r="K50" s="62"/>
      <c r="L50" s="38"/>
    </row>
    <row r="51" spans="2:12" ht="20.5" x14ac:dyDescent="0.45">
      <c r="F51" s="317"/>
    </row>
  </sheetData>
  <mergeCells count="52">
    <mergeCell ref="J47:K47"/>
    <mergeCell ref="D35:F35"/>
    <mergeCell ref="I35:J35"/>
    <mergeCell ref="D36:F36"/>
    <mergeCell ref="J38:K38"/>
    <mergeCell ref="J40:K40"/>
    <mergeCell ref="J42:K42"/>
    <mergeCell ref="D30:F30"/>
    <mergeCell ref="I30:J30"/>
    <mergeCell ref="D33:F33"/>
    <mergeCell ref="I33:J33"/>
    <mergeCell ref="D34:F34"/>
    <mergeCell ref="I34:J34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N13:R13"/>
    <mergeCell ref="B14:D14"/>
    <mergeCell ref="K14:L14"/>
    <mergeCell ref="B15:D15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</mergeCells>
  <conditionalFormatting sqref="C32">
    <cfRule type="duplicateValues" dxfId="150" priority="1"/>
  </conditionalFormatting>
  <pageMargins left="0.70866141732283472" right="0.55118110236220474" top="0.55118110236220474" bottom="0.74803149606299213" header="0.31496062992125984" footer="0.31496062992125984"/>
  <pageSetup paperSize="9" scale="74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9D9A9-2745-4FE2-B967-8281C3841231}">
  <sheetPr codeName="Sheet23">
    <tabColor rgb="FFFFC000"/>
    <pageSetUpPr fitToPage="1"/>
  </sheetPr>
  <dimension ref="B1:S42"/>
  <sheetViews>
    <sheetView topLeftCell="B17" zoomScaleNormal="100" workbookViewId="0">
      <selection activeCell="C26" sqref="C2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20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1185</v>
      </c>
      <c r="J10" s="17" t="s">
        <v>26</v>
      </c>
      <c r="K10" s="455">
        <v>202304307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Granny's Pancake 面煎糕                           270 Queen Street #01-94 Albert Centre Singapore</v>
      </c>
      <c r="G11" s="445"/>
      <c r="H11" s="446"/>
      <c r="J11" s="18" t="s">
        <v>9</v>
      </c>
      <c r="K11" s="460">
        <v>45031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 t="s">
        <v>33</v>
      </c>
      <c r="L15" s="484"/>
    </row>
    <row r="16" spans="2:12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9" ht="20.149999999999999" customHeight="1" x14ac:dyDescent="0.45">
      <c r="B18" s="21"/>
      <c r="C18" s="45" t="s">
        <v>1080</v>
      </c>
      <c r="D18" s="430" t="str">
        <f>VLOOKUP(C18,'Sales Master'!B$3:D$642,2,0)</f>
        <v>Fine Sugar 白糖</v>
      </c>
      <c r="E18" s="430"/>
      <c r="F18" s="430"/>
      <c r="G18" s="99">
        <v>2</v>
      </c>
      <c r="H18" s="241" t="str">
        <f>VLOOKUP(C18,'Sales Master'!B$3:F$936,5,0)</f>
        <v>25 KGS</v>
      </c>
      <c r="I18" s="432" t="str">
        <f>VLOOKUP(C18,'Sales Master'!B$3:E$936,4,0)</f>
        <v>MITR PHOL</v>
      </c>
      <c r="J18" s="432"/>
      <c r="K18" s="22">
        <f>VLOOKUP(C18,'Sales Master'!B$3:N$527,13,0)</f>
        <v>34</v>
      </c>
      <c r="L18" s="23">
        <f>K18*G18</f>
        <v>68</v>
      </c>
      <c r="N18" s="247">
        <f>VLOOKUP(C18,'Sales Master'!$B$3:$FA$3051,156,0)</f>
        <v>26.784000000000002</v>
      </c>
      <c r="O18" s="247">
        <f>K18-N18</f>
        <v>7.2159999999999975</v>
      </c>
      <c r="P18" s="247">
        <f>O18*G18</f>
        <v>14.431999999999995</v>
      </c>
      <c r="R18" s="95">
        <f>N18*G18*0.07</f>
        <v>3.7497600000000006</v>
      </c>
      <c r="S18" s="95">
        <f>N18*G18*0.08</f>
        <v>4.2854400000000004</v>
      </c>
    </row>
    <row r="19" spans="2:19" ht="20.149999999999999" customHeight="1" x14ac:dyDescent="0.45">
      <c r="B19" s="21"/>
      <c r="C19" s="45"/>
      <c r="D19" s="430"/>
      <c r="E19" s="430"/>
      <c r="F19" s="430"/>
      <c r="G19" s="99"/>
      <c r="H19" s="65"/>
      <c r="I19" s="431"/>
      <c r="J19" s="431"/>
      <c r="K19" s="96"/>
      <c r="L19" s="23"/>
    </row>
    <row r="20" spans="2:19" ht="20.149999999999999" customHeight="1" x14ac:dyDescent="0.45">
      <c r="B20" s="21"/>
      <c r="C20" s="45"/>
      <c r="D20" s="430"/>
      <c r="E20" s="430"/>
      <c r="F20" s="430"/>
      <c r="G20" s="99"/>
      <c r="H20" s="65"/>
      <c r="I20" s="431"/>
      <c r="J20" s="431"/>
      <c r="K20" s="96"/>
      <c r="L20" s="23"/>
    </row>
    <row r="21" spans="2:19" ht="20.149999999999999" customHeight="1" x14ac:dyDescent="0.45">
      <c r="B21" s="21"/>
      <c r="C21" s="45"/>
      <c r="D21" s="69"/>
      <c r="E21" s="69"/>
      <c r="F21" s="69"/>
      <c r="G21" s="99"/>
      <c r="H21" s="65"/>
      <c r="I21" s="65"/>
      <c r="J21" s="65"/>
      <c r="K21" s="96"/>
      <c r="L21" s="23"/>
    </row>
    <row r="22" spans="2:19" ht="20.149999999999999" customHeight="1" x14ac:dyDescent="0.45">
      <c r="B22" s="21"/>
      <c r="C22" s="275"/>
      <c r="G22" s="99"/>
      <c r="H22" s="65"/>
      <c r="I22" s="65"/>
      <c r="J22" s="65"/>
      <c r="K22" s="96"/>
      <c r="L22" s="23"/>
    </row>
    <row r="23" spans="2:19" ht="20.149999999999999" customHeight="1" x14ac:dyDescent="0.45">
      <c r="B23" s="21"/>
      <c r="C23" s="45"/>
      <c r="G23" s="99"/>
      <c r="H23" s="65"/>
      <c r="I23" s="206"/>
      <c r="J23" s="206"/>
      <c r="K23" s="96"/>
      <c r="L23" s="23"/>
    </row>
    <row r="24" spans="2:19" ht="20.149999999999999" customHeight="1" x14ac:dyDescent="0.45">
      <c r="B24" s="21"/>
      <c r="C24" s="45"/>
      <c r="D24" s="430"/>
      <c r="E24" s="430"/>
      <c r="F24" s="430"/>
      <c r="G24" s="99"/>
      <c r="H24" s="65"/>
      <c r="I24" s="431"/>
      <c r="J24" s="431"/>
      <c r="K24" s="96"/>
      <c r="L24" s="23"/>
    </row>
    <row r="25" spans="2:19" ht="20.149999999999999" customHeight="1" x14ac:dyDescent="0.45">
      <c r="B25" s="21"/>
      <c r="C25" s="45"/>
      <c r="D25" s="430"/>
      <c r="E25" s="430"/>
      <c r="F25" s="430"/>
      <c r="G25" s="233"/>
      <c r="H25" s="65"/>
      <c r="I25" s="431"/>
      <c r="J25" s="431"/>
      <c r="K25" s="22"/>
      <c r="L25" s="23"/>
    </row>
    <row r="26" spans="2:19" ht="20.149999999999999" customHeight="1" x14ac:dyDescent="0.45">
      <c r="B26" s="21"/>
      <c r="C26" s="305" t="s">
        <v>1736</v>
      </c>
      <c r="G26" s="233"/>
      <c r="H26" s="65"/>
      <c r="I26" s="65"/>
      <c r="J26" s="65"/>
      <c r="K26" s="22"/>
      <c r="L26" s="23"/>
    </row>
    <row r="27" spans="2:19" ht="20.149999999999999" customHeight="1" x14ac:dyDescent="0.45">
      <c r="B27" s="21"/>
      <c r="C27" s="45" t="s">
        <v>1080</v>
      </c>
      <c r="D27" s="430" t="str">
        <f>VLOOKUP(C27,'Sales Master'!B$3:D$702,2,0)</f>
        <v>Fine Sugar 白糖</v>
      </c>
      <c r="E27" s="430"/>
      <c r="F27" s="430"/>
      <c r="G27" s="233">
        <v>1</v>
      </c>
      <c r="H27" s="241" t="str">
        <f>VLOOKUP(C27,'Sales Master'!B$3:F$936,5,0)</f>
        <v>25 KGS</v>
      </c>
      <c r="I27" s="432" t="str">
        <f>VLOOKUP(C27,'Sales Master'!B$3:E$936,4,0)</f>
        <v>MITR PHOL</v>
      </c>
      <c r="J27" s="432"/>
      <c r="K27" s="22">
        <v>34</v>
      </c>
      <c r="L27" s="23"/>
    </row>
    <row r="28" spans="2:19" ht="20.149999999999999" customHeight="1" x14ac:dyDescent="0.45">
      <c r="B28" s="90"/>
      <c r="C28" s="91"/>
      <c r="D28" s="186"/>
      <c r="E28" s="186"/>
      <c r="F28" s="186"/>
      <c r="G28" s="133"/>
      <c r="H28" s="123"/>
      <c r="I28" s="123"/>
      <c r="J28" s="123"/>
      <c r="K28" s="92"/>
      <c r="L28" s="93"/>
    </row>
    <row r="29" spans="2:19" ht="20.149999999999999" customHeight="1" thickBot="1" x14ac:dyDescent="0.5">
      <c r="B29" s="28"/>
      <c r="L29" s="29"/>
    </row>
    <row r="30" spans="2:19" ht="20.149999999999999" customHeight="1" x14ac:dyDescent="0.45">
      <c r="B30" s="11" t="s">
        <v>334</v>
      </c>
      <c r="C30" s="10"/>
      <c r="D30" s="10"/>
      <c r="E30" s="10"/>
      <c r="F30" s="10"/>
      <c r="G30" s="10"/>
      <c r="H30" s="10"/>
      <c r="I30" s="10"/>
      <c r="J30" s="474" t="s">
        <v>13</v>
      </c>
      <c r="K30" s="475"/>
      <c r="L30" s="30">
        <f>SUM(L18:L29)</f>
        <v>68</v>
      </c>
      <c r="M30" s="95">
        <f>SUM(P5:P28)-L30*0.02</f>
        <v>13.071999999999996</v>
      </c>
      <c r="N30" s="248">
        <f>M30/L30</f>
        <v>0.192235294117647</v>
      </c>
    </row>
    <row r="31" spans="2:19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0" t="s">
        <v>553</v>
      </c>
      <c r="K31" s="113">
        <v>6.54E-2</v>
      </c>
      <c r="L31" s="32">
        <f>L33</f>
        <v>5.0370370370370372</v>
      </c>
    </row>
    <row r="32" spans="2:19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476" t="s">
        <v>555</v>
      </c>
      <c r="K32" s="477"/>
      <c r="L32" s="114">
        <f>L30/108*100</f>
        <v>62.962962962962962</v>
      </c>
    </row>
    <row r="33" spans="2:16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1" t="s">
        <v>554</v>
      </c>
      <c r="K33" s="112">
        <v>0.08</v>
      </c>
      <c r="L33" s="44">
        <f>L32*K33</f>
        <v>5.0370370370370372</v>
      </c>
    </row>
    <row r="34" spans="2:16" ht="20.149999999999999" customHeight="1" thickBot="1" x14ac:dyDescent="0.5">
      <c r="B34" s="11" t="s">
        <v>748</v>
      </c>
      <c r="C34" s="10"/>
      <c r="D34" s="10"/>
      <c r="E34" s="10"/>
      <c r="F34" s="10"/>
      <c r="G34" s="10"/>
      <c r="H34" s="10"/>
      <c r="I34" s="10"/>
      <c r="J34" s="478" t="s">
        <v>21</v>
      </c>
      <c r="K34" s="479"/>
      <c r="L34" s="33">
        <f>L32+L33</f>
        <v>68</v>
      </c>
    </row>
    <row r="35" spans="2:16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  <c r="P35" s="95"/>
    </row>
    <row r="36" spans="2:16" ht="20.149999999999999" customHeight="1" x14ac:dyDescent="0.45">
      <c r="B36" s="183" t="s">
        <v>749</v>
      </c>
      <c r="L36" s="29"/>
    </row>
    <row r="37" spans="2:16" ht="20.149999999999999" customHeight="1" x14ac:dyDescent="0.45">
      <c r="B37" s="28"/>
      <c r="L37" s="29"/>
    </row>
    <row r="38" spans="2:16" ht="20.149999999999999" customHeight="1" x14ac:dyDescent="0.45">
      <c r="B38" s="28"/>
      <c r="L38" s="29"/>
    </row>
    <row r="39" spans="2:16" ht="20.149999999999999" customHeight="1" x14ac:dyDescent="0.45">
      <c r="B39" s="28"/>
      <c r="L39" s="29"/>
    </row>
    <row r="40" spans="2:16" ht="20.149999999999999" customHeight="1" x14ac:dyDescent="0.45">
      <c r="B40" s="34"/>
      <c r="C40" s="35"/>
      <c r="D40" s="35"/>
      <c r="J40" s="35"/>
      <c r="K40" s="35"/>
      <c r="L40" s="36"/>
    </row>
    <row r="41" spans="2:16" ht="20.149999999999999" customHeight="1" x14ac:dyDescent="0.45">
      <c r="B41" s="28" t="s">
        <v>24</v>
      </c>
      <c r="J41" s="60" t="s">
        <v>25</v>
      </c>
      <c r="L41" s="29"/>
    </row>
    <row r="42" spans="2:16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29">
    <mergeCell ref="J30:K30"/>
    <mergeCell ref="J32:K32"/>
    <mergeCell ref="J34:K34"/>
    <mergeCell ref="I25:J25"/>
    <mergeCell ref="D27:F27"/>
    <mergeCell ref="I27:J27"/>
    <mergeCell ref="D20:F20"/>
    <mergeCell ref="I20:J20"/>
    <mergeCell ref="D25:F25"/>
    <mergeCell ref="D24:F24"/>
    <mergeCell ref="I24:J24"/>
    <mergeCell ref="I17:J17"/>
    <mergeCell ref="D18:F18"/>
    <mergeCell ref="I18:J18"/>
    <mergeCell ref="D19:F19"/>
    <mergeCell ref="I19:J1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5">
    <cfRule type="duplicateValues" dxfId="82" priority="1"/>
  </conditionalFormatting>
  <conditionalFormatting sqref="C25:C27">
    <cfRule type="duplicateValues" dxfId="81" priority="2"/>
  </conditionalFormatting>
  <printOptions horizontalCentered="1"/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649B3-614E-4B87-BE7F-4D704F562C95}">
  <sheetPr codeName="Sheet138">
    <tabColor rgb="FFFFC000"/>
    <pageSetUpPr fitToPage="1"/>
  </sheetPr>
  <dimension ref="B1:P44"/>
  <sheetViews>
    <sheetView topLeftCell="B12" zoomScaleNormal="100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1312</v>
      </c>
      <c r="J10" s="17" t="s">
        <v>26</v>
      </c>
      <c r="K10" s="455">
        <v>202310516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Granny's Pancake 面煎糕                     Amoy Street Food Centre                     7 Maxwell Road #02-101                 Singapore 069111</v>
      </c>
      <c r="G11" s="445"/>
      <c r="H11" s="446"/>
      <c r="J11" s="18" t="s">
        <v>9</v>
      </c>
      <c r="K11" s="460">
        <v>45222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1080</v>
      </c>
      <c r="D18" s="430" t="str">
        <f>VLOOKUP(C18,'Sales Master'!B$3:D$644,2,0)</f>
        <v>Fine Sugar 白糖</v>
      </c>
      <c r="E18" s="430"/>
      <c r="F18" s="430"/>
      <c r="G18" s="45">
        <v>2</v>
      </c>
      <c r="H18" s="241" t="str">
        <f>VLOOKUP(C18,'Sales Master'!B$3:F$936,5,0)</f>
        <v>25 KGS</v>
      </c>
      <c r="I18" s="432" t="str">
        <f>VLOOKUP(C18,'Sales Master'!B$3:E$936,4,0)</f>
        <v>MITR PHOL</v>
      </c>
      <c r="J18" s="432"/>
      <c r="K18" s="22">
        <f>VLOOKUP(C18,'Sales Master'!B$3:N$527,13,0)</f>
        <v>34</v>
      </c>
      <c r="L18" s="71">
        <f>K18*G18</f>
        <v>68</v>
      </c>
      <c r="N18" s="247">
        <f>VLOOKUP(C18,'Sales Master'!$B$3:$FA$3051,156,0)</f>
        <v>26.784000000000002</v>
      </c>
      <c r="O18" s="247">
        <f>K18-N18</f>
        <v>7.2159999999999975</v>
      </c>
      <c r="P18" s="247">
        <f>O18*G18</f>
        <v>14.431999999999995</v>
      </c>
    </row>
    <row r="19" spans="2:16" ht="20.149999999999999" customHeight="1" x14ac:dyDescent="0.45">
      <c r="B19" s="21"/>
      <c r="C19" s="45"/>
      <c r="D19" s="69"/>
      <c r="E19" s="69"/>
      <c r="F19" s="69"/>
      <c r="G19" s="45"/>
      <c r="H19" s="65"/>
      <c r="I19" s="65"/>
      <c r="J19" s="65"/>
      <c r="K19" s="22"/>
      <c r="L19" s="71"/>
      <c r="N19" s="247"/>
      <c r="O19" s="247"/>
      <c r="P19" s="247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  <c r="N20" s="247"/>
      <c r="O20" s="247"/>
      <c r="P20" s="247"/>
    </row>
    <row r="21" spans="2:16" ht="20.149999999999999" customHeight="1" x14ac:dyDescent="0.45">
      <c r="B21" s="21"/>
      <c r="C21" s="275"/>
      <c r="G21" s="99"/>
      <c r="H21" s="65"/>
      <c r="I21" s="65"/>
      <c r="J21" s="65"/>
      <c r="K21" s="96"/>
      <c r="L21" s="71"/>
    </row>
    <row r="22" spans="2:16" ht="20.149999999999999" customHeight="1" x14ac:dyDescent="0.45">
      <c r="B22" s="21"/>
      <c r="C22" s="45"/>
      <c r="D22" s="430"/>
      <c r="E22" s="430"/>
      <c r="F22" s="430"/>
      <c r="G22" s="99"/>
      <c r="H22" s="65"/>
      <c r="I22" s="431"/>
      <c r="J22" s="431"/>
      <c r="K22" s="96"/>
      <c r="L22" s="71"/>
    </row>
    <row r="23" spans="2:16" ht="20.149999999999999" customHeight="1" x14ac:dyDescent="0.45">
      <c r="B23" s="21"/>
      <c r="C23" s="99"/>
      <c r="D23" s="130"/>
      <c r="E23" s="130"/>
      <c r="F23" s="130"/>
      <c r="G23" s="99"/>
      <c r="H23" s="65"/>
      <c r="I23" s="65"/>
      <c r="J23" s="65"/>
      <c r="K23" s="22"/>
      <c r="L23" s="71"/>
    </row>
    <row r="24" spans="2:16" ht="20.149999999999999" customHeight="1" x14ac:dyDescent="0.45">
      <c r="B24" s="21"/>
      <c r="C24" s="140"/>
      <c r="G24" s="99"/>
      <c r="H24" s="65"/>
      <c r="I24" s="65"/>
      <c r="J24" s="65"/>
      <c r="K24" s="96"/>
      <c r="L24" s="71"/>
    </row>
    <row r="25" spans="2:16" ht="20.149999999999999" customHeight="1" x14ac:dyDescent="0.45">
      <c r="B25" s="21"/>
      <c r="C25" s="45"/>
      <c r="D25" s="430"/>
      <c r="E25" s="430"/>
      <c r="F25" s="430"/>
      <c r="G25" s="99"/>
      <c r="H25" s="65"/>
      <c r="I25" s="431"/>
      <c r="J25" s="431"/>
      <c r="K25" s="96"/>
      <c r="L25" s="71"/>
    </row>
    <row r="26" spans="2:16" ht="20.149999999999999" customHeight="1" x14ac:dyDescent="0.45">
      <c r="B26" s="70"/>
      <c r="C26" s="305" t="s">
        <v>1737</v>
      </c>
      <c r="G26" s="233"/>
      <c r="H26" s="65"/>
      <c r="I26" s="65"/>
      <c r="J26" s="65"/>
      <c r="K26" s="22"/>
      <c r="L26" s="71"/>
    </row>
    <row r="27" spans="2:16" ht="20.149999999999999" customHeight="1" x14ac:dyDescent="0.45">
      <c r="B27" s="70"/>
      <c r="C27" s="338" t="s">
        <v>1080</v>
      </c>
      <c r="D27" s="430" t="str">
        <f>VLOOKUP(C27,'Sales Master'!B$3:D$702,2,0)</f>
        <v>Fine Sugar 白糖</v>
      </c>
      <c r="E27" s="430"/>
      <c r="F27" s="430"/>
      <c r="G27" s="233">
        <v>1</v>
      </c>
      <c r="H27" s="241" t="str">
        <f>VLOOKUP(C27,'Sales Master'!B$3:F$936,5,0)</f>
        <v>25 KGS</v>
      </c>
      <c r="I27" s="432" t="str">
        <f>VLOOKUP(C27,'Sales Master'!B$3:E$936,4,0)</f>
        <v>MITR PHOL</v>
      </c>
      <c r="J27" s="432"/>
      <c r="K27" s="22">
        <v>34</v>
      </c>
      <c r="L27" s="71"/>
    </row>
    <row r="28" spans="2:16" ht="20.149999999999999" customHeight="1" x14ac:dyDescent="0.45">
      <c r="B28" s="21"/>
      <c r="L28" s="23"/>
    </row>
    <row r="29" spans="2:16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SUM(L15:L30)</f>
        <v>68</v>
      </c>
      <c r="M31" s="95">
        <f>SUM(P18:P27)-L31*0.02</f>
        <v>13.071999999999996</v>
      </c>
      <c r="N31" s="405">
        <f>M31-L32</f>
        <v>8.0349629629629575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L34</f>
        <v>5.0370370370370372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L31/108*100</f>
        <v>62.962962962962962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0.08</v>
      </c>
      <c r="L34" s="44">
        <f>L33*K34</f>
        <v>5.0370370370370372</v>
      </c>
    </row>
    <row r="35" spans="2:12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68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83" t="s">
        <v>749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44" spans="2:12" ht="20.5" x14ac:dyDescent="0.45">
      <c r="F44" s="317"/>
    </row>
  </sheetData>
  <mergeCells count="2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J35:K35"/>
    <mergeCell ref="D22:F22"/>
    <mergeCell ref="I22:J22"/>
    <mergeCell ref="D25:F25"/>
    <mergeCell ref="I25:J25"/>
    <mergeCell ref="D27:F27"/>
    <mergeCell ref="I27:J27"/>
    <mergeCell ref="D29:F29"/>
    <mergeCell ref="J31:K31"/>
    <mergeCell ref="J33:K33"/>
    <mergeCell ref="D18:F18"/>
    <mergeCell ref="I18:J18"/>
    <mergeCell ref="D17:F17"/>
  </mergeCells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13D3-70F7-4CA9-BE45-F0E9CF99F0AD}">
  <sheetPr codeName="Sheet39">
    <tabColor rgb="FF7030A0"/>
    <pageSetUpPr fitToPage="1"/>
  </sheetPr>
  <dimension ref="B1:S1048575"/>
  <sheetViews>
    <sheetView topLeftCell="A7" workbookViewId="0">
      <selection activeCell="B1" sqref="B1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5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5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5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5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5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5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5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5" ht="21" customHeight="1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433</v>
      </c>
      <c r="J10" s="17" t="s">
        <v>26</v>
      </c>
      <c r="K10" s="455">
        <v>202310679</v>
      </c>
      <c r="L10" s="456"/>
      <c r="N10" s="60" t="s">
        <v>883</v>
      </c>
      <c r="O10" s="243">
        <v>45033</v>
      </c>
    </row>
    <row r="11" spans="2:15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Top Bean                                                   Hougang Central Bus Interchange/ Beside Blk 850                                       #01-07 Singapore 538757</v>
      </c>
      <c r="G11" s="445"/>
      <c r="H11" s="446"/>
      <c r="J11" s="18" t="s">
        <v>9</v>
      </c>
      <c r="K11" s="460">
        <v>45229</v>
      </c>
      <c r="L11" s="461"/>
    </row>
    <row r="12" spans="2:15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5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5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5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  <c r="N15" s="69" t="s">
        <v>609</v>
      </c>
    </row>
    <row r="16" spans="2:15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9" ht="20.149999999999999" customHeight="1" x14ac:dyDescent="0.45">
      <c r="B18" s="21"/>
      <c r="C18" s="338" t="s">
        <v>863</v>
      </c>
      <c r="D18" s="430" t="str">
        <f>VLOOKUP(C18,'Sales Master'!B$3:D$644,2,0)</f>
        <v>Chin Chow powder 仙草粉</v>
      </c>
      <c r="E18" s="430"/>
      <c r="F18" s="430"/>
      <c r="G18" s="45">
        <v>1</v>
      </c>
      <c r="H18" s="241" t="str">
        <f>VLOOKUP(C18,'Sales Master'!B$3:F$936,5,0)</f>
        <v>2 kgs (20 X 100GM)</v>
      </c>
      <c r="I18" s="432" t="str">
        <f>VLOOKUP(C18,'Sales Master'!B$3:E$936,4,0)</f>
        <v>-</v>
      </c>
      <c r="J18" s="432"/>
      <c r="K18" s="22">
        <f>VLOOKUP(C18,'Sales Master'!B$3:AD$536,29,0)</f>
        <v>30</v>
      </c>
      <c r="L18" s="23">
        <f>K18*G18</f>
        <v>30</v>
      </c>
      <c r="N18" s="247">
        <f>VLOOKUP(C18,'Sales Master'!$B$3:$FA$3051,156,0)</f>
        <v>18.600000000000001</v>
      </c>
      <c r="O18" s="247">
        <f>K18-N18</f>
        <v>11.399999999999999</v>
      </c>
      <c r="P18" s="247">
        <f>O18*G18</f>
        <v>11.399999999999999</v>
      </c>
      <c r="R18" s="94">
        <v>2</v>
      </c>
      <c r="S18" s="94" t="s">
        <v>78</v>
      </c>
    </row>
    <row r="19" spans="2:19" ht="20.149999999999999" customHeight="1" x14ac:dyDescent="0.45">
      <c r="B19" s="21"/>
      <c r="C19" s="338" t="s">
        <v>1035</v>
      </c>
      <c r="D19" s="430" t="str">
        <f>VLOOKUP(C19,'Sales Master'!B$3:D$644,2,0)</f>
        <v>Fruit Cocktail 杂果</v>
      </c>
      <c r="E19" s="430"/>
      <c r="F19" s="430"/>
      <c r="G19" s="45">
        <v>1</v>
      </c>
      <c r="H19" s="241" t="str">
        <f>VLOOKUP(C19,'Sales Master'!B$3:F$936,5,0)</f>
        <v>(820gm x 12)/箱</v>
      </c>
      <c r="I19" s="432" t="str">
        <f>VLOOKUP(C19,'Sales Master'!B$3:E$936,4,0)</f>
        <v>Statue</v>
      </c>
      <c r="J19" s="432"/>
      <c r="K19" s="22">
        <f>VLOOKUP(C19,'Sales Master'!B$3:AD$536,29,0)</f>
        <v>36</v>
      </c>
      <c r="L19" s="23">
        <f>K19*G19</f>
        <v>36</v>
      </c>
      <c r="N19" s="247">
        <f>VLOOKUP(C19,'Sales Master'!$B$3:$FA$3051,156,0)</f>
        <v>29</v>
      </c>
      <c r="O19" s="247">
        <f>K19-N19</f>
        <v>7</v>
      </c>
      <c r="P19" s="247">
        <f>O19*G19</f>
        <v>7</v>
      </c>
      <c r="R19" s="60">
        <f>37/48</f>
        <v>0.77083333333333337</v>
      </c>
      <c r="S19" s="60">
        <f>R19*1.27</f>
        <v>0.97895833333333337</v>
      </c>
    </row>
    <row r="20" spans="2:19" ht="20.149999999999999" customHeight="1" x14ac:dyDescent="0.45">
      <c r="B20" s="21"/>
      <c r="C20" s="338" t="s">
        <v>1047</v>
      </c>
      <c r="D20" s="430" t="str">
        <f>VLOOKUP(C20,'Sales Master'!B$3:D$644,2,0)</f>
        <v>Evaporated Creamer 淡奶水</v>
      </c>
      <c r="E20" s="430"/>
      <c r="F20" s="430"/>
      <c r="G20" s="45">
        <v>24</v>
      </c>
      <c r="H20" s="241" t="str">
        <f>VLOOKUP(C20,'Sales Master'!B$3:F$936,5,0)</f>
        <v>1 CAN</v>
      </c>
      <c r="I20" s="432" t="str">
        <f>VLOOKUP(C20,'Sales Master'!B$3:E$936,4,0)</f>
        <v>Marigold</v>
      </c>
      <c r="J20" s="432"/>
      <c r="K20" s="22">
        <f>VLOOKUP(C20,'Sales Master'!B$3:AD$536,29,0)</f>
        <v>1.3</v>
      </c>
      <c r="L20" s="23">
        <f t="shared" ref="L20" si="0">K20*G20</f>
        <v>31.200000000000003</v>
      </c>
      <c r="N20" s="247">
        <f>VLOOKUP(C20,'Sales Master'!$B$3:$FA$3051,156,0)</f>
        <v>1.03125</v>
      </c>
      <c r="O20" s="247">
        <f t="shared" ref="O20" si="1">K20-N20</f>
        <v>0.26875000000000004</v>
      </c>
      <c r="P20" s="247">
        <f t="shared" ref="P20" si="2">O20*G20</f>
        <v>6.4500000000000011</v>
      </c>
    </row>
    <row r="21" spans="2:19" ht="20.149999999999999" customHeight="1" x14ac:dyDescent="0.45">
      <c r="B21" s="21"/>
      <c r="C21" s="338" t="s">
        <v>1080</v>
      </c>
      <c r="D21" s="430" t="str">
        <f>VLOOKUP(C21,'Sales Master'!B$3:D$644,2,0)</f>
        <v>Fine Sugar 白糖</v>
      </c>
      <c r="E21" s="430"/>
      <c r="F21" s="430"/>
      <c r="G21" s="45">
        <v>1</v>
      </c>
      <c r="H21" s="241" t="str">
        <f>VLOOKUP(C21,'Sales Master'!B$3:F$936,5,0)</f>
        <v>25 KGS</v>
      </c>
      <c r="I21" s="432" t="str">
        <f>VLOOKUP(C21,'Sales Master'!B$3:E$936,4,0)</f>
        <v>MITR PHOL</v>
      </c>
      <c r="J21" s="432"/>
      <c r="K21" s="22">
        <f>VLOOKUP(C21,'Sales Master'!B$3:AD$536,29,0)</f>
        <v>33</v>
      </c>
      <c r="L21" s="23">
        <f t="shared" ref="L21" si="3">K21*G21</f>
        <v>33</v>
      </c>
      <c r="N21" s="247">
        <f>VLOOKUP(C21,'Sales Master'!$B$3:$FA$3051,156,0)</f>
        <v>26.784000000000002</v>
      </c>
      <c r="O21" s="247">
        <f t="shared" ref="O21" si="4">K21-N21</f>
        <v>6.2159999999999975</v>
      </c>
      <c r="P21" s="247">
        <f t="shared" ref="P21" si="5">O21*G21</f>
        <v>6.2159999999999975</v>
      </c>
    </row>
    <row r="22" spans="2:19" ht="20.149999999999999" customHeight="1" x14ac:dyDescent="0.45">
      <c r="B22" s="21"/>
      <c r="C22" s="338"/>
      <c r="D22" s="430"/>
      <c r="E22" s="430"/>
      <c r="F22" s="430"/>
      <c r="G22" s="45"/>
      <c r="H22" s="241"/>
      <c r="I22" s="432"/>
      <c r="J22" s="432"/>
      <c r="K22" s="22"/>
      <c r="L22" s="23"/>
      <c r="N22" s="247"/>
      <c r="O22" s="247"/>
      <c r="P22" s="247"/>
    </row>
    <row r="23" spans="2:19" ht="20.149999999999999" customHeight="1" x14ac:dyDescent="0.45">
      <c r="B23" s="21"/>
      <c r="L23" s="29"/>
      <c r="N23" s="247"/>
      <c r="O23" s="247"/>
      <c r="P23" s="247"/>
    </row>
    <row r="24" spans="2:19" ht="20.149999999999999" customHeight="1" x14ac:dyDescent="0.45">
      <c r="B24" s="21"/>
      <c r="C24" s="12"/>
      <c r="L24" s="23"/>
      <c r="N24" s="247"/>
      <c r="O24" s="247"/>
      <c r="P24" s="247"/>
    </row>
    <row r="25" spans="2:19" ht="20.149999999999999" customHeight="1" x14ac:dyDescent="0.45">
      <c r="B25" s="21"/>
      <c r="C25" s="69" t="s">
        <v>1363</v>
      </c>
      <c r="L25" s="23"/>
      <c r="N25" s="247"/>
      <c r="O25" s="247"/>
      <c r="P25" s="247"/>
    </row>
    <row r="26" spans="2:19" ht="20.149999999999999" customHeight="1" x14ac:dyDescent="0.45">
      <c r="B26" s="21"/>
      <c r="C26" s="69" t="s">
        <v>1364</v>
      </c>
      <c r="H26" s="241"/>
      <c r="I26" s="206"/>
      <c r="J26" s="206"/>
      <c r="K26" s="22"/>
      <c r="L26" s="23"/>
      <c r="N26" s="247"/>
      <c r="O26" s="247"/>
      <c r="P26" s="247"/>
    </row>
    <row r="27" spans="2:19" ht="20.149999999999999" customHeight="1" x14ac:dyDescent="0.45">
      <c r="B27" s="21"/>
      <c r="C27" s="69"/>
      <c r="H27" s="241"/>
      <c r="I27" s="206"/>
      <c r="J27" s="206"/>
      <c r="K27" s="22"/>
      <c r="L27" s="23"/>
      <c r="N27" s="247"/>
      <c r="O27" s="247"/>
      <c r="P27" s="247"/>
    </row>
    <row r="28" spans="2:19" ht="20.149999999999999" customHeight="1" x14ac:dyDescent="0.45">
      <c r="B28" s="21"/>
      <c r="L28" s="23"/>
    </row>
    <row r="29" spans="2:19" ht="20.149999999999999" customHeight="1" x14ac:dyDescent="0.45">
      <c r="B29" s="21"/>
      <c r="C29" s="305" t="s">
        <v>1740</v>
      </c>
      <c r="E29" s="69"/>
      <c r="F29" s="69"/>
      <c r="G29" s="99"/>
      <c r="H29" s="65"/>
      <c r="I29" s="65"/>
      <c r="J29" s="65"/>
      <c r="K29" s="22"/>
      <c r="L29" s="131"/>
    </row>
    <row r="30" spans="2:19" ht="20.149999999999999" customHeight="1" x14ac:dyDescent="0.45">
      <c r="B30" s="21"/>
      <c r="C30" s="338" t="s">
        <v>897</v>
      </c>
      <c r="D30" s="430" t="str">
        <f>VLOOKUP(C30,'Sales Master'!B$3:D$643,2,0)</f>
        <v>Tapioca Flour 茨粉</v>
      </c>
      <c r="E30" s="430"/>
      <c r="F30" s="430"/>
      <c r="G30" s="45">
        <v>1</v>
      </c>
      <c r="H30" s="206" t="str">
        <f>VLOOKUP(C30,'Sales Master'!B$3:F$936,5,0)</f>
        <v>500gm/pkt</v>
      </c>
      <c r="I30" s="432" t="str">
        <f>VLOOKUP(C30,'Sales Master'!B$3:E$936,4,0)</f>
        <v>F/MAN</v>
      </c>
      <c r="J30" s="432"/>
      <c r="K30" s="22">
        <v>1</v>
      </c>
      <c r="L30" s="131"/>
    </row>
    <row r="31" spans="2:19" ht="20.149999999999999" customHeight="1" x14ac:dyDescent="0.45">
      <c r="B31" s="21"/>
      <c r="C31" s="338" t="s">
        <v>1080</v>
      </c>
      <c r="D31" s="430" t="str">
        <f>VLOOKUP(C31,'Sales Master'!B$3:D$643,2,0)</f>
        <v>Fine Sugar 白糖</v>
      </c>
      <c r="E31" s="430"/>
      <c r="F31" s="430"/>
      <c r="G31" s="99">
        <v>1</v>
      </c>
      <c r="H31" s="206" t="str">
        <f>VLOOKUP(C31,'Sales Master'!B$3:F$936,5,0)</f>
        <v>25 KGS</v>
      </c>
      <c r="I31" s="432" t="str">
        <f>VLOOKUP(C31,'Sales Master'!B$3:E$936,4,0)</f>
        <v>MITR PHOL</v>
      </c>
      <c r="J31" s="432"/>
      <c r="K31" s="22">
        <v>34</v>
      </c>
      <c r="L31" s="131"/>
    </row>
    <row r="32" spans="2:19" ht="20.149999999999999" customHeight="1" thickBot="1" x14ac:dyDescent="0.5">
      <c r="B32" s="24"/>
      <c r="C32" s="25"/>
      <c r="D32" s="473"/>
      <c r="E32" s="473"/>
      <c r="F32" s="473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>
        <f>SUM(L17:L33)</f>
        <v>130.19999999999999</v>
      </c>
      <c r="M34" s="95">
        <f>SUM(P18:P32)-L34*0.02</f>
        <v>28.462</v>
      </c>
      <c r="N34" s="248">
        <f>M34/L34</f>
        <v>0.21860215053763443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>
        <f>L37</f>
        <v>9.6444444444444439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>
        <f>L34/108*100</f>
        <v>120.55555555555554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0.08</v>
      </c>
      <c r="L37" s="44">
        <f>L36*K37</f>
        <v>9.6444444444444439</v>
      </c>
    </row>
    <row r="38" spans="2:14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>
        <f>L36+L37</f>
        <v>130.19999999999999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4" ht="20.149999999999999" customHeight="1" x14ac:dyDescent="0.45">
      <c r="B40" s="183" t="s">
        <v>749</v>
      </c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1048575" spans="4:6" x14ac:dyDescent="0.45">
      <c r="D1048575" s="430"/>
      <c r="E1048575" s="430"/>
      <c r="F1048575" s="430"/>
    </row>
  </sheetData>
  <mergeCells count="33">
    <mergeCell ref="D30:F30"/>
    <mergeCell ref="I30:J30"/>
    <mergeCell ref="D1048575:F1048575"/>
    <mergeCell ref="J38:K38"/>
    <mergeCell ref="D32:F32"/>
    <mergeCell ref="J34:K34"/>
    <mergeCell ref="J36:K36"/>
    <mergeCell ref="I31:J31"/>
    <mergeCell ref="D31:F31"/>
    <mergeCell ref="D18:F18"/>
    <mergeCell ref="I18:J18"/>
    <mergeCell ref="K15:L15"/>
    <mergeCell ref="K12:L12"/>
    <mergeCell ref="B13:D13"/>
    <mergeCell ref="K13:L13"/>
    <mergeCell ref="B14:D14"/>
    <mergeCell ref="K14:L14"/>
    <mergeCell ref="F11:H15"/>
    <mergeCell ref="K11:L11"/>
    <mergeCell ref="B12:D12"/>
    <mergeCell ref="B1:L8"/>
    <mergeCell ref="D17:F17"/>
    <mergeCell ref="I17:J17"/>
    <mergeCell ref="K10:L10"/>
    <mergeCell ref="B11:D11"/>
    <mergeCell ref="D22:F22"/>
    <mergeCell ref="I22:J22"/>
    <mergeCell ref="D19:F19"/>
    <mergeCell ref="I19:J19"/>
    <mergeCell ref="D20:F20"/>
    <mergeCell ref="I20:J20"/>
    <mergeCell ref="D21:F21"/>
    <mergeCell ref="I21:J21"/>
  </mergeCells>
  <conditionalFormatting sqref="C29">
    <cfRule type="duplicateValues" dxfId="80" priority="1"/>
  </conditionalFormatting>
  <conditionalFormatting sqref="C31">
    <cfRule type="duplicateValues" dxfId="79" priority="2"/>
  </conditionalFormatting>
  <pageMargins left="0.70866141732283472" right="0.31496062992125984" top="0.23622047244094491" bottom="0.23622047244094491" header="0.31496062992125984" footer="0.31496062992125984"/>
  <pageSetup paperSize="9" scale="76" fitToHeight="0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C2C0A-87BC-4B2D-A8D5-6482887022B7}">
  <sheetPr codeName="Sheet48">
    <tabColor rgb="FF7030A0"/>
    <pageSetUpPr fitToPage="1"/>
  </sheetPr>
  <dimension ref="B1:V45"/>
  <sheetViews>
    <sheetView topLeftCell="B15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448</v>
      </c>
      <c r="J10" s="17" t="s">
        <v>26</v>
      </c>
      <c r="K10" s="455">
        <v>202310633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Penang Place Restaurant &amp; Catering   Suntec  City,                                                       3 Temasek Boulevard                                                                 #02-314/315/316                         Singapore 038983</v>
      </c>
      <c r="G11" s="445"/>
      <c r="H11" s="446"/>
      <c r="J11" s="18" t="s">
        <v>9</v>
      </c>
      <c r="K11" s="460">
        <v>45226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20.149999999999999" customHeight="1" x14ac:dyDescent="0.45">
      <c r="B18" s="21"/>
      <c r="C18" s="338" t="s">
        <v>830</v>
      </c>
      <c r="D18" s="430" t="str">
        <f>VLOOKUP(C18,'Sales Master'!B$3:D$642,2,0)</f>
        <v>Bobo ChaCha Cubes 摩摩喳喳</v>
      </c>
      <c r="E18" s="430"/>
      <c r="F18" s="430"/>
      <c r="G18" s="45">
        <v>10</v>
      </c>
      <c r="H18" s="241" t="str">
        <f>VLOOKUP(C18,'Sales Master'!B$3:F$936,5,0)</f>
        <v>800 GM/ Bag包</v>
      </c>
      <c r="I18" s="432" t="str">
        <f>VLOOKUP(C18,'Sales Master'!B$3:E$936,4,0)</f>
        <v>DO!</v>
      </c>
      <c r="J18" s="432"/>
      <c r="K18" s="22">
        <f>VLOOKUP(C18,'Sales Master'!B$3:J$527,9,0)</f>
        <v>8.5</v>
      </c>
      <c r="L18" s="71">
        <f>K18*G18</f>
        <v>85</v>
      </c>
      <c r="N18" s="247">
        <f>VLOOKUP(C18,'Sales Master'!$B$3:$FA$3051,156,0)</f>
        <v>0.89</v>
      </c>
      <c r="O18" s="247">
        <f>K18-N18</f>
        <v>7.61</v>
      </c>
      <c r="P18" s="247">
        <f>O18*G18</f>
        <v>76.100000000000009</v>
      </c>
      <c r="R18" s="60">
        <v>10</v>
      </c>
      <c r="S18" s="60" t="s">
        <v>59</v>
      </c>
      <c r="T18" s="60" t="s">
        <v>384</v>
      </c>
      <c r="V18" s="60">
        <v>6</v>
      </c>
    </row>
    <row r="19" spans="2:22" ht="20.149999999999999" customHeight="1" x14ac:dyDescent="0.45">
      <c r="B19" s="21"/>
      <c r="C19" s="338" t="s">
        <v>835</v>
      </c>
      <c r="D19" s="430" t="str">
        <f>VLOOKUP(C19,'Sales Master'!B$3:D$642,2,0)</f>
        <v>Pong Thai Hai (Wet) 碰大海</v>
      </c>
      <c r="E19" s="430"/>
      <c r="F19" s="430"/>
      <c r="G19" s="45">
        <v>5</v>
      </c>
      <c r="H19" s="241" t="str">
        <f>VLOOKUP(C19,'Sales Master'!B$3:F$936,5,0)</f>
        <v>1KG/ Pkt包</v>
      </c>
      <c r="I19" s="432" t="str">
        <f>VLOOKUP(C19,'Sales Master'!B$3:E$936,4,0)</f>
        <v>DO!</v>
      </c>
      <c r="J19" s="432"/>
      <c r="K19" s="22">
        <f>VLOOKUP(C19,'Sales Master'!B$3:J$527,9,0)</f>
        <v>11</v>
      </c>
      <c r="L19" s="71">
        <f>K19*G19</f>
        <v>55</v>
      </c>
      <c r="N19" s="247">
        <f>VLOOKUP(C19,'Sales Master'!$B$3:$FA$3051,156,0)</f>
        <v>0.9</v>
      </c>
      <c r="O19" s="247">
        <f>K19-N19</f>
        <v>10.1</v>
      </c>
      <c r="P19" s="247">
        <f>O19*G19</f>
        <v>50.5</v>
      </c>
      <c r="R19" s="60">
        <v>3</v>
      </c>
      <c r="S19" s="60" t="s">
        <v>33</v>
      </c>
      <c r="T19" s="60" t="s">
        <v>62</v>
      </c>
      <c r="V19" s="60">
        <v>4.5</v>
      </c>
    </row>
    <row r="20" spans="2:22" ht="20.149999999999999" customHeight="1" x14ac:dyDescent="0.45">
      <c r="B20" s="70"/>
      <c r="C20" s="338" t="s">
        <v>855</v>
      </c>
      <c r="D20" s="430" t="str">
        <f>VLOOKUP(C20,'Sales Master'!B$3:D$642,2,0)</f>
        <v>Atap Seeds in Syrup 亚嗒子</v>
      </c>
      <c r="E20" s="430"/>
      <c r="F20" s="430"/>
      <c r="G20" s="45">
        <v>2</v>
      </c>
      <c r="H20" s="241" t="str">
        <f>VLOOKUP(C20,'Sales Master'!B$3:F$936,5,0)</f>
        <v>20 kgs/桶</v>
      </c>
      <c r="I20" s="432" t="str">
        <f>VLOOKUP(C20,'Sales Master'!B$3:E$936,4,0)</f>
        <v>2P</v>
      </c>
      <c r="J20" s="432"/>
      <c r="K20" s="22">
        <f>VLOOKUP(C20,'Sales Master'!B$3:J$527,9,0)</f>
        <v>68</v>
      </c>
      <c r="L20" s="71">
        <f t="shared" ref="L20" si="0">K20*G20</f>
        <v>136</v>
      </c>
      <c r="N20" s="247">
        <f>VLOOKUP(C20,'Sales Master'!$B$3:$FA$3051,156,0)</f>
        <v>59.400000000000006</v>
      </c>
      <c r="O20" s="247">
        <f t="shared" ref="O20" si="1">K20-N20</f>
        <v>8.5999999999999943</v>
      </c>
      <c r="P20" s="247">
        <f t="shared" ref="P20" si="2">O20*G20</f>
        <v>17.199999999999989</v>
      </c>
      <c r="R20" s="60">
        <v>3</v>
      </c>
    </row>
    <row r="21" spans="2:22" ht="20.149999999999999" customHeight="1" x14ac:dyDescent="0.45">
      <c r="B21" s="70"/>
      <c r="C21" s="338" t="s">
        <v>918</v>
      </c>
      <c r="D21" s="430" t="str">
        <f>VLOOKUP(C21,'Sales Master'!B$3:D$642,2,0)</f>
        <v>Chin Chow 仙草</v>
      </c>
      <c r="E21" s="430"/>
      <c r="F21" s="430"/>
      <c r="G21" s="45">
        <v>2</v>
      </c>
      <c r="H21" s="241" t="str">
        <f>VLOOKUP(C21,'Sales Master'!B$3:F$936,5,0)</f>
        <v>5KGS/PKT</v>
      </c>
      <c r="I21" s="432" t="str">
        <f>VLOOKUP(C21,'Sales Master'!B$3:E$936,4,0)</f>
        <v>TSM</v>
      </c>
      <c r="J21" s="432"/>
      <c r="K21" s="22">
        <f>VLOOKUP(C21,'Sales Master'!B$3:J$527,9,0)</f>
        <v>5.5</v>
      </c>
      <c r="L21" s="71">
        <f t="shared" ref="L21" si="3">K21*G21</f>
        <v>11</v>
      </c>
      <c r="N21" s="247">
        <f>VLOOKUP(C21,'Sales Master'!$B$3:$FA$3051,156,0)</f>
        <v>4.32</v>
      </c>
      <c r="O21" s="247">
        <f t="shared" ref="O21" si="4">K21-N21</f>
        <v>1.1799999999999997</v>
      </c>
      <c r="P21" s="247">
        <f t="shared" ref="P21" si="5">O21*G21</f>
        <v>2.3599999999999994</v>
      </c>
    </row>
    <row r="22" spans="2:22" ht="20.149999999999999" customHeight="1" x14ac:dyDescent="0.45">
      <c r="B22" s="70"/>
      <c r="C22" s="45"/>
      <c r="D22" s="430"/>
      <c r="E22" s="430"/>
      <c r="F22" s="430"/>
      <c r="G22" s="45"/>
      <c r="H22" s="241"/>
      <c r="I22" s="432"/>
      <c r="J22" s="432"/>
      <c r="K22" s="22"/>
      <c r="L22" s="71"/>
    </row>
    <row r="23" spans="2:22" ht="20.149999999999999" customHeight="1" x14ac:dyDescent="0.45">
      <c r="B23" s="21"/>
      <c r="C23" s="45"/>
      <c r="G23" s="45"/>
      <c r="H23" s="241"/>
      <c r="I23" s="322"/>
      <c r="J23" s="322"/>
      <c r="K23" s="96"/>
      <c r="L23" s="71"/>
    </row>
    <row r="24" spans="2:22" ht="20.149999999999999" customHeight="1" x14ac:dyDescent="0.45">
      <c r="B24" s="21"/>
      <c r="C24" s="45"/>
      <c r="G24" s="45"/>
      <c r="H24" s="241"/>
      <c r="I24" s="322"/>
      <c r="J24" s="322"/>
      <c r="K24" s="96"/>
      <c r="L24" s="71"/>
    </row>
    <row r="25" spans="2:22" ht="20.149999999999999" customHeight="1" x14ac:dyDescent="0.45">
      <c r="B25" s="21"/>
      <c r="C25" s="140"/>
      <c r="E25" s="69"/>
      <c r="F25" s="69"/>
      <c r="G25" s="99"/>
      <c r="H25" s="241"/>
      <c r="I25" s="322"/>
      <c r="J25" s="322"/>
      <c r="K25" s="96"/>
      <c r="L25" s="98"/>
    </row>
    <row r="26" spans="2:22" ht="20.149999999999999" customHeight="1" x14ac:dyDescent="0.45">
      <c r="B26" s="21"/>
      <c r="C26" s="305" t="s">
        <v>1503</v>
      </c>
      <c r="E26" s="69"/>
      <c r="F26" s="69"/>
      <c r="G26" s="99"/>
      <c r="H26" s="65"/>
      <c r="I26" s="65"/>
      <c r="J26" s="65"/>
      <c r="K26" s="22"/>
      <c r="L26" s="98"/>
    </row>
    <row r="27" spans="2:22" ht="20.149999999999999" customHeight="1" x14ac:dyDescent="0.45">
      <c r="B27" s="21"/>
      <c r="C27" s="338" t="s">
        <v>835</v>
      </c>
      <c r="D27" s="430" t="str">
        <f>VLOOKUP(C27,'Sales Master'!B$3:D$643,2,0)</f>
        <v>Pong Thai Hai (Wet) 碰大海</v>
      </c>
      <c r="E27" s="430"/>
      <c r="F27" s="430"/>
      <c r="G27" s="99">
        <v>1</v>
      </c>
      <c r="H27" s="65" t="str">
        <f>VLOOKUP(C27,'Sales Master'!B$3:F$936,5,0)</f>
        <v>1KG/ Pkt包</v>
      </c>
      <c r="I27" s="431" t="str">
        <f>VLOOKUP(C27,'Sales Master'!B$3:E$936,4,0)</f>
        <v>DO!</v>
      </c>
      <c r="J27" s="431"/>
      <c r="K27" s="22">
        <v>11</v>
      </c>
      <c r="L27" s="98"/>
    </row>
    <row r="28" spans="2:22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22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71"/>
    </row>
    <row r="30" spans="2:22" ht="20.149999999999999" customHeight="1" x14ac:dyDescent="0.45">
      <c r="B30" s="21"/>
      <c r="C30" s="45"/>
      <c r="D30" s="503"/>
      <c r="E30" s="503"/>
      <c r="F30" s="503"/>
      <c r="G30" s="45"/>
      <c r="H30" s="65"/>
      <c r="I30" s="65"/>
      <c r="J30" s="65"/>
      <c r="K30" s="22"/>
      <c r="L30" s="23"/>
    </row>
    <row r="31" spans="2:22" ht="20.149999999999999" customHeight="1" thickBot="1" x14ac:dyDescent="0.5">
      <c r="B31" s="24"/>
      <c r="C31" s="25"/>
      <c r="D31" s="473"/>
      <c r="E31" s="473"/>
      <c r="F31" s="473"/>
      <c r="G31" s="25"/>
      <c r="H31" s="66"/>
      <c r="I31" s="66"/>
      <c r="J31" s="66"/>
      <c r="K31" s="26"/>
      <c r="L31" s="27"/>
    </row>
    <row r="32" spans="2:22" ht="20.149999999999999" customHeight="1" thickBot="1" x14ac:dyDescent="0.5">
      <c r="B32" s="28"/>
      <c r="L32" s="29"/>
    </row>
    <row r="33" spans="2:15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30">
        <f>SUM(L15:L32)</f>
        <v>287</v>
      </c>
      <c r="M33" s="95">
        <f>SUM(P13:P31)</f>
        <v>146.16000000000003</v>
      </c>
      <c r="N33" s="405">
        <f>M33-L34</f>
        <v>124.90074074074076</v>
      </c>
    </row>
    <row r="34" spans="2:15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32">
        <f>L36</f>
        <v>21.259259259259263</v>
      </c>
    </row>
    <row r="35" spans="2:15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114">
        <f>L33/108*100</f>
        <v>265.74074074074076</v>
      </c>
      <c r="N35" s="60">
        <v>210</v>
      </c>
    </row>
    <row r="36" spans="2:15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0.08</v>
      </c>
      <c r="L36" s="44">
        <f>L35*K36</f>
        <v>21.259259259259263</v>
      </c>
      <c r="N36" s="60">
        <v>196.26</v>
      </c>
      <c r="O36" s="95">
        <f>N36-L35</f>
        <v>-69.480740740740771</v>
      </c>
    </row>
    <row r="37" spans="2:15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78" t="s">
        <v>21</v>
      </c>
      <c r="K37" s="479"/>
      <c r="L37" s="33">
        <f>L35+L36</f>
        <v>287</v>
      </c>
    </row>
    <row r="38" spans="2:15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5" ht="20.149999999999999" customHeight="1" x14ac:dyDescent="0.45">
      <c r="B39" s="183" t="s">
        <v>749</v>
      </c>
      <c r="L39" s="29"/>
    </row>
    <row r="40" spans="2:15" ht="20.149999999999999" customHeight="1" x14ac:dyDescent="0.45">
      <c r="B40" s="28"/>
      <c r="L40" s="29"/>
    </row>
    <row r="41" spans="2:15" ht="20.149999999999999" customHeight="1" x14ac:dyDescent="0.45">
      <c r="B41" s="28"/>
      <c r="L41" s="29"/>
    </row>
    <row r="42" spans="2:15" ht="20.149999999999999" customHeight="1" x14ac:dyDescent="0.45">
      <c r="B42" s="28"/>
      <c r="L42" s="29"/>
    </row>
    <row r="43" spans="2:15" ht="20.149999999999999" customHeight="1" x14ac:dyDescent="0.45">
      <c r="B43" s="34"/>
      <c r="C43" s="35"/>
      <c r="D43" s="35"/>
      <c r="J43" s="35"/>
      <c r="K43" s="35"/>
      <c r="L43" s="36"/>
    </row>
    <row r="44" spans="2:15" ht="20.149999999999999" customHeight="1" x14ac:dyDescent="0.45">
      <c r="B44" s="28" t="s">
        <v>24</v>
      </c>
      <c r="J44" s="60" t="s">
        <v>25</v>
      </c>
      <c r="L44" s="29"/>
    </row>
    <row r="45" spans="2:15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6">
    <mergeCell ref="D27:F27"/>
    <mergeCell ref="I27:J27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D22:F22"/>
    <mergeCell ref="I22:J22"/>
    <mergeCell ref="I20:J20"/>
    <mergeCell ref="D20:F20"/>
    <mergeCell ref="J37:K37"/>
    <mergeCell ref="D28:F28"/>
    <mergeCell ref="I28:J28"/>
    <mergeCell ref="D29:F29"/>
    <mergeCell ref="I29:J29"/>
    <mergeCell ref="D30:F30"/>
    <mergeCell ref="D31:F31"/>
    <mergeCell ref="J33:K33"/>
    <mergeCell ref="J35:K35"/>
    <mergeCell ref="B1:L8"/>
    <mergeCell ref="K10:L10"/>
    <mergeCell ref="B11:D11"/>
    <mergeCell ref="F11:H15"/>
    <mergeCell ref="K11:L11"/>
    <mergeCell ref="D17:F17"/>
    <mergeCell ref="I17:J17"/>
    <mergeCell ref="D18:F18"/>
    <mergeCell ref="I18:J18"/>
    <mergeCell ref="D19:F19"/>
    <mergeCell ref="I19:J19"/>
  </mergeCells>
  <conditionalFormatting sqref="C25">
    <cfRule type="duplicateValues" dxfId="78" priority="3"/>
  </conditionalFormatting>
  <conditionalFormatting sqref="C26">
    <cfRule type="duplicateValues" dxfId="77" priority="1"/>
  </conditionalFormatting>
  <conditionalFormatting sqref="C27">
    <cfRule type="duplicateValues" dxfId="76" priority="2"/>
  </conditionalFormatting>
  <pageMargins left="0.70866141732283472" right="0.31496062992125984" top="0.23622047244094491" bottom="0.23622047244094491" header="0.31496062992125984" footer="0.31496062992125984"/>
  <pageSetup paperSize="9" scale="76" fitToHeight="0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B8D56-4877-477D-8990-B8F203C7545F}">
  <sheetPr codeName="Sheet60">
    <tabColor rgb="FF7030A0"/>
    <pageSetUpPr fitToPage="1"/>
  </sheetPr>
  <dimension ref="B1:P48"/>
  <sheetViews>
    <sheetView topLeftCell="B29" zoomScaleNormal="100" workbookViewId="0">
      <selection activeCell="B1" sqref="B1:L4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" style="60" customWidth="1"/>
    <col min="9" max="9" width="4.54296875" style="60" customWidth="1"/>
    <col min="10" max="10" width="15.54296875" style="60" customWidth="1"/>
    <col min="11" max="13" width="12.54296875" style="60"/>
    <col min="14" max="14" width="13.26953125" style="60" customWidth="1"/>
    <col min="15" max="15" width="11.7265625" style="60" bestFit="1" customWidth="1"/>
    <col min="16" max="16" width="12.6328125" style="60" bestFit="1" customWidth="1"/>
    <col min="17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  <c r="N6" s="172" t="s">
        <v>1220</v>
      </c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442</v>
      </c>
      <c r="J10" s="17" t="s">
        <v>26</v>
      </c>
      <c r="K10" s="455">
        <v>202310711</v>
      </c>
      <c r="L10" s="456"/>
    </row>
    <row r="11" spans="2:14" ht="20.149999999999999" customHeight="1" x14ac:dyDescent="0.45">
      <c r="B11" s="480" t="s">
        <v>587</v>
      </c>
      <c r="C11" s="481"/>
      <c r="D11" s="482"/>
      <c r="E11" s="61"/>
      <c r="F11" s="444" t="str">
        <f>VLOOKUP(H10,'Delivery Location'!A$4:N$423,2,0)</f>
        <v>纯天然甘蔗汁                                       People's Park Food Centre,             32 New market Road   #01-1142 Singapore 050032</v>
      </c>
      <c r="G11" s="445"/>
      <c r="H11" s="446"/>
      <c r="J11" s="18" t="s">
        <v>9</v>
      </c>
      <c r="K11" s="460">
        <v>45230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502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958</v>
      </c>
      <c r="D18" s="430" t="str">
        <f>VLOOKUP(C18,'Sales Master'!B$3:D$643,2,0)</f>
        <v>Pearl Barley 薏米</v>
      </c>
      <c r="E18" s="430"/>
      <c r="F18" s="430"/>
      <c r="G18" s="99">
        <v>4</v>
      </c>
      <c r="H18" s="206" t="str">
        <f>VLOOKUP(C18,'Sales Master'!B$3:F$936,5,0)</f>
        <v>5 kgs</v>
      </c>
      <c r="I18" s="432" t="str">
        <f>VLOOKUP(C18,'Sales Master'!B$3:E$936,4,0)</f>
        <v>-</v>
      </c>
      <c r="J18" s="432"/>
      <c r="K18" s="22">
        <f>VLOOKUP(C18,'Sales Master'!B$3:L$527,11,0)</f>
        <v>11</v>
      </c>
      <c r="L18" s="71">
        <f t="shared" ref="L18" si="0">K18*G18</f>
        <v>44</v>
      </c>
      <c r="N18" s="247">
        <f>VLOOKUP(C18,'Sales Master'!$B$3:$FA$3051,156,0)</f>
        <v>7.6</v>
      </c>
      <c r="O18" s="247">
        <f t="shared" ref="O18" si="1">K18-N18</f>
        <v>3.4000000000000004</v>
      </c>
      <c r="P18" s="247">
        <f t="shared" ref="P18" si="2">O18*G18</f>
        <v>13.600000000000001</v>
      </c>
    </row>
    <row r="19" spans="2:16" ht="20.149999999999999" customHeight="1" x14ac:dyDescent="0.45">
      <c r="B19" s="21"/>
      <c r="C19" s="338"/>
      <c r="D19" s="430"/>
      <c r="E19" s="430"/>
      <c r="F19" s="430"/>
      <c r="G19" s="99"/>
      <c r="H19" s="206"/>
      <c r="I19" s="432"/>
      <c r="J19" s="432"/>
      <c r="K19" s="22"/>
      <c r="L19" s="71"/>
      <c r="N19" s="247"/>
      <c r="O19" s="247"/>
      <c r="P19" s="247"/>
    </row>
    <row r="20" spans="2:16" ht="20.149999999999999" customHeight="1" x14ac:dyDescent="0.45">
      <c r="B20" s="21"/>
      <c r="C20" s="45"/>
      <c r="D20" s="430"/>
      <c r="E20" s="430"/>
      <c r="F20" s="430"/>
      <c r="G20" s="99"/>
      <c r="H20" s="206"/>
      <c r="I20" s="432"/>
      <c r="J20" s="432"/>
      <c r="K20" s="22"/>
      <c r="L20" s="71"/>
      <c r="N20" s="247"/>
      <c r="O20" s="247"/>
      <c r="P20" s="247"/>
    </row>
    <row r="21" spans="2:16" ht="20.149999999999999" customHeight="1" x14ac:dyDescent="0.45">
      <c r="B21" s="70"/>
      <c r="C21" s="45"/>
      <c r="D21" s="430"/>
      <c r="E21" s="430"/>
      <c r="F21" s="430"/>
      <c r="G21" s="99"/>
      <c r="H21" s="206"/>
      <c r="I21" s="432"/>
      <c r="J21" s="432"/>
      <c r="K21" s="22"/>
      <c r="L21" s="71"/>
      <c r="N21" s="247"/>
      <c r="O21" s="247"/>
      <c r="P21" s="247"/>
    </row>
    <row r="22" spans="2:16" ht="20.149999999999999" customHeight="1" x14ac:dyDescent="0.45">
      <c r="B22" s="70"/>
      <c r="C22" s="45"/>
      <c r="D22" s="430"/>
      <c r="E22" s="430"/>
      <c r="F22" s="430"/>
      <c r="G22" s="99"/>
      <c r="H22" s="206"/>
      <c r="I22" s="432"/>
      <c r="J22" s="432"/>
      <c r="K22" s="22"/>
      <c r="L22" s="71"/>
      <c r="N22" s="247"/>
      <c r="O22" s="247"/>
      <c r="P22" s="247"/>
    </row>
    <row r="23" spans="2:16" ht="20.149999999999999" customHeight="1" x14ac:dyDescent="0.45">
      <c r="B23" s="70"/>
      <c r="C23" s="45"/>
      <c r="D23" s="430"/>
      <c r="E23" s="430"/>
      <c r="F23" s="430"/>
      <c r="G23" s="99"/>
      <c r="H23" s="206"/>
      <c r="I23" s="432"/>
      <c r="J23" s="432"/>
      <c r="K23" s="22"/>
      <c r="L23" s="71"/>
      <c r="N23" s="247"/>
      <c r="O23" s="247"/>
      <c r="P23" s="247"/>
    </row>
    <row r="24" spans="2:16" ht="20.149999999999999" customHeight="1" x14ac:dyDescent="0.45">
      <c r="B24" s="70"/>
      <c r="C24" s="45"/>
      <c r="D24" s="430"/>
      <c r="E24" s="430"/>
      <c r="F24" s="430"/>
      <c r="G24" s="99"/>
      <c r="H24" s="206"/>
      <c r="I24" s="432"/>
      <c r="J24" s="432"/>
      <c r="K24" s="22"/>
      <c r="L24" s="71"/>
      <c r="N24" s="247"/>
      <c r="O24" s="247"/>
      <c r="P24" s="247"/>
    </row>
    <row r="25" spans="2:16" ht="20.149999999999999" customHeight="1" x14ac:dyDescent="0.45">
      <c r="B25" s="70"/>
      <c r="D25" s="430"/>
      <c r="E25" s="430"/>
      <c r="F25" s="430"/>
      <c r="G25" s="99"/>
      <c r="H25" s="206"/>
      <c r="I25" s="432"/>
      <c r="J25" s="432"/>
      <c r="K25" s="22"/>
      <c r="L25" s="71"/>
      <c r="N25" s="247"/>
      <c r="O25" s="247"/>
      <c r="P25" s="247"/>
    </row>
    <row r="26" spans="2:16" ht="20.149999999999999" customHeight="1" x14ac:dyDescent="0.45">
      <c r="B26" s="70"/>
      <c r="D26" s="430"/>
      <c r="E26" s="430"/>
      <c r="F26" s="430"/>
      <c r="G26" s="99"/>
      <c r="H26" s="206"/>
      <c r="I26" s="432"/>
      <c r="J26" s="432"/>
      <c r="K26" s="22"/>
      <c r="L26" s="71"/>
      <c r="N26" s="247"/>
      <c r="O26" s="247"/>
      <c r="P26" s="247"/>
    </row>
    <row r="27" spans="2:16" ht="20.149999999999999" customHeight="1" x14ac:dyDescent="0.45">
      <c r="B27" s="70"/>
      <c r="D27" s="69"/>
      <c r="E27" s="69"/>
      <c r="F27" s="69"/>
      <c r="G27" s="99"/>
      <c r="H27" s="65"/>
      <c r="I27" s="65"/>
      <c r="J27" s="65"/>
      <c r="K27" s="22"/>
      <c r="L27" s="71"/>
      <c r="N27" s="247"/>
      <c r="O27" s="247"/>
      <c r="P27" s="247"/>
    </row>
    <row r="28" spans="2:16" ht="20.149999999999999" customHeight="1" x14ac:dyDescent="0.45">
      <c r="B28" s="70"/>
      <c r="C28" s="305" t="s">
        <v>1736</v>
      </c>
      <c r="E28" s="69"/>
      <c r="F28" s="69"/>
      <c r="G28" s="99"/>
      <c r="H28" s="65"/>
      <c r="I28" s="65"/>
      <c r="J28" s="65"/>
      <c r="K28" s="22"/>
      <c r="L28" s="71"/>
      <c r="N28" s="247"/>
      <c r="O28" s="247"/>
      <c r="P28" s="247"/>
    </row>
    <row r="29" spans="2:16" ht="20.149999999999999" customHeight="1" x14ac:dyDescent="0.45">
      <c r="B29" s="70"/>
      <c r="C29" s="338" t="s">
        <v>1080</v>
      </c>
      <c r="D29" s="430" t="str">
        <f>VLOOKUP(C29,'Sales Master'!B$3:D$643,2,0)</f>
        <v>Fine Sugar 白糖</v>
      </c>
      <c r="E29" s="430"/>
      <c r="F29" s="430"/>
      <c r="G29" s="99">
        <v>1</v>
      </c>
      <c r="H29" s="206" t="str">
        <f>VLOOKUP(C29,'Sales Master'!B$3:F$936,5,0)</f>
        <v>25 KGS</v>
      </c>
      <c r="I29" s="432" t="str">
        <f>VLOOKUP(C29,'Sales Master'!B$3:E$936,4,0)</f>
        <v>MITR PHOL</v>
      </c>
      <c r="J29" s="432"/>
      <c r="K29" s="22">
        <v>34</v>
      </c>
      <c r="L29" s="71"/>
      <c r="N29" s="247"/>
      <c r="O29" s="247"/>
      <c r="P29" s="247"/>
    </row>
    <row r="30" spans="2:16" ht="20.149999999999999" customHeight="1" x14ac:dyDescent="0.45">
      <c r="B30" s="70"/>
      <c r="C30" s="338"/>
      <c r="D30" s="430"/>
      <c r="E30" s="430"/>
      <c r="F30" s="430"/>
      <c r="G30" s="99"/>
      <c r="H30" s="206"/>
      <c r="I30" s="432"/>
      <c r="J30" s="432"/>
      <c r="K30" s="22"/>
      <c r="L30" s="71"/>
      <c r="N30" s="247"/>
      <c r="O30" s="247"/>
      <c r="P30" s="247"/>
    </row>
    <row r="31" spans="2:16" ht="20.149999999999999" customHeight="1" x14ac:dyDescent="0.45">
      <c r="B31" s="70"/>
      <c r="C31" s="45"/>
      <c r="D31" s="430"/>
      <c r="E31" s="430"/>
      <c r="F31" s="430"/>
      <c r="G31" s="99"/>
      <c r="H31" s="206"/>
      <c r="I31" s="432"/>
      <c r="J31" s="432"/>
      <c r="K31" s="22"/>
      <c r="L31" s="71"/>
      <c r="N31" s="247"/>
      <c r="O31" s="247"/>
      <c r="P31" s="247"/>
    </row>
    <row r="32" spans="2:16" ht="20.149999999999999" customHeight="1" x14ac:dyDescent="0.45">
      <c r="B32" s="70"/>
      <c r="C32" s="45"/>
      <c r="D32" s="69"/>
      <c r="E32" s="69"/>
      <c r="F32" s="69"/>
      <c r="G32" s="99"/>
      <c r="H32" s="241"/>
      <c r="I32" s="521"/>
      <c r="J32" s="521"/>
      <c r="K32" s="22"/>
      <c r="L32" s="71"/>
      <c r="N32" s="247"/>
      <c r="O32" s="247"/>
      <c r="P32" s="247"/>
    </row>
    <row r="33" spans="2:14" ht="20.149999999999999" customHeight="1" thickBot="1" x14ac:dyDescent="0.5">
      <c r="B33" s="24"/>
      <c r="C33" s="25"/>
      <c r="D33" s="473"/>
      <c r="E33" s="473"/>
      <c r="F33" s="473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474" t="s">
        <v>13</v>
      </c>
      <c r="K35" s="475"/>
      <c r="L35" s="30">
        <f>SUM(L16:L34)</f>
        <v>44</v>
      </c>
      <c r="M35" s="95">
        <f>SUM(P18:P33)-L35*0.02</f>
        <v>12.72</v>
      </c>
      <c r="N35" s="248">
        <f>M35/L35</f>
        <v>0.28909090909090912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0" t="s">
        <v>553</v>
      </c>
      <c r="K36" s="113">
        <v>6.54E-2</v>
      </c>
      <c r="L36" s="32">
        <f>L38</f>
        <v>3.2592592592592595</v>
      </c>
    </row>
    <row r="37" spans="2:14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476" t="s">
        <v>555</v>
      </c>
      <c r="K37" s="477"/>
      <c r="L37" s="114">
        <f>L35/108*100</f>
        <v>40.74074074074074</v>
      </c>
    </row>
    <row r="38" spans="2:14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1" t="s">
        <v>554</v>
      </c>
      <c r="K38" s="112">
        <v>0.08</v>
      </c>
      <c r="L38" s="44">
        <f>L37*K38</f>
        <v>3.2592592592592595</v>
      </c>
    </row>
    <row r="39" spans="2:14" ht="20.149999999999999" customHeight="1" thickBot="1" x14ac:dyDescent="0.5">
      <c r="B39" s="11" t="s">
        <v>748</v>
      </c>
      <c r="C39" s="10"/>
      <c r="D39" s="10"/>
      <c r="E39" s="10"/>
      <c r="F39" s="10"/>
      <c r="G39" s="10"/>
      <c r="H39" s="10"/>
      <c r="I39" s="10"/>
      <c r="J39" s="478" t="s">
        <v>21</v>
      </c>
      <c r="K39" s="479"/>
      <c r="L39" s="33">
        <f>L37+L38</f>
        <v>44</v>
      </c>
    </row>
    <row r="40" spans="2:14" ht="20.149999999999999" customHeight="1" x14ac:dyDescent="0.45">
      <c r="B40" s="11" t="s">
        <v>23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83" t="s">
        <v>749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24</v>
      </c>
      <c r="J46" s="60" t="s">
        <v>25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4" ht="20.5" x14ac:dyDescent="0.45">
      <c r="F48" s="317"/>
    </row>
  </sheetData>
  <mergeCells count="44">
    <mergeCell ref="I30:J30"/>
    <mergeCell ref="D30:F30"/>
    <mergeCell ref="I31:J31"/>
    <mergeCell ref="J39:K39"/>
    <mergeCell ref="D33:F33"/>
    <mergeCell ref="J35:K35"/>
    <mergeCell ref="J37:K37"/>
    <mergeCell ref="I32:J32"/>
    <mergeCell ref="D31:F31"/>
    <mergeCell ref="B1:L8"/>
    <mergeCell ref="D17:F17"/>
    <mergeCell ref="I17:J17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K10:L10"/>
    <mergeCell ref="B11:D11"/>
    <mergeCell ref="F11:H15"/>
    <mergeCell ref="D18:F18"/>
    <mergeCell ref="I18:J18"/>
    <mergeCell ref="D19:F19"/>
    <mergeCell ref="I19:J19"/>
    <mergeCell ref="D20:F20"/>
    <mergeCell ref="I20:J20"/>
    <mergeCell ref="D21:F21"/>
    <mergeCell ref="I21:J21"/>
    <mergeCell ref="I23:J23"/>
    <mergeCell ref="D23:F23"/>
    <mergeCell ref="D29:F29"/>
    <mergeCell ref="D25:F25"/>
    <mergeCell ref="I25:J25"/>
    <mergeCell ref="D26:F26"/>
    <mergeCell ref="I26:J26"/>
    <mergeCell ref="D24:F24"/>
    <mergeCell ref="I24:J24"/>
    <mergeCell ref="I29:J29"/>
    <mergeCell ref="D22:F22"/>
    <mergeCell ref="I22:J22"/>
  </mergeCells>
  <conditionalFormatting sqref="C28">
    <cfRule type="duplicateValues" dxfId="75" priority="1"/>
  </conditionalFormatting>
  <conditionalFormatting sqref="C29:C30">
    <cfRule type="duplicateValues" dxfId="74" priority="2"/>
  </conditionalFormatting>
  <pageMargins left="0.70866141732283472" right="0.31496062992125984" top="0.23622047244094491" bottom="0.23622047244094491" header="0.31496062992125984" footer="0.31496062992125984"/>
  <pageSetup paperSize="9" scale="74" fitToHeight="0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D4F73B-4A19-4053-90D6-1F33855EE520}">
  <sheetPr codeName="Sheet42">
    <tabColor rgb="FFFFC000"/>
    <pageSetUpPr fitToPage="1"/>
  </sheetPr>
  <dimension ref="B1:P47"/>
  <sheetViews>
    <sheetView topLeftCell="B19" zoomScaleNormal="100" workbookViewId="0">
      <selection activeCell="C28" sqref="C2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3" width="12.54296875" style="60"/>
    <col min="14" max="14" width="14.81640625" style="60" customWidth="1"/>
    <col min="15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490</v>
      </c>
      <c r="J10" s="17" t="s">
        <v>26</v>
      </c>
      <c r="K10" s="455">
        <v>202308653</v>
      </c>
      <c r="L10" s="456"/>
    </row>
    <row r="11" spans="2:14" ht="20.149999999999999" customHeight="1" x14ac:dyDescent="0.45">
      <c r="B11" s="527"/>
      <c r="C11" s="528"/>
      <c r="D11" s="529"/>
      <c r="E11" s="61"/>
      <c r="F11" s="444" t="str">
        <f>VLOOKUP(H10,'Delivery Location'!A$4:N$423,2,0)</f>
        <v>顺发冷热清汤                                        Blk 190B Rivervale Drive                    #08-960 Singapore 542190</v>
      </c>
      <c r="G11" s="445"/>
      <c r="H11" s="446"/>
      <c r="J11" s="18" t="s">
        <v>9</v>
      </c>
      <c r="K11" s="460">
        <v>45166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  <c r="N13" s="305" t="s">
        <v>1345</v>
      </c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483"/>
      <c r="L15" s="484"/>
    </row>
    <row r="16" spans="2:14" ht="19" thickBot="1" x14ac:dyDescent="0.5">
      <c r="J16" s="45"/>
    </row>
    <row r="17" spans="2:16" ht="30" customHeight="1" x14ac:dyDescent="0.45">
      <c r="B17" s="360" t="s">
        <v>2</v>
      </c>
      <c r="C17" s="361" t="s">
        <v>3</v>
      </c>
      <c r="D17" s="522" t="s">
        <v>4</v>
      </c>
      <c r="E17" s="523"/>
      <c r="F17" s="524"/>
      <c r="G17" s="362" t="s">
        <v>335</v>
      </c>
      <c r="H17" s="361" t="s">
        <v>28</v>
      </c>
      <c r="I17" s="522" t="s">
        <v>57</v>
      </c>
      <c r="J17" s="524"/>
      <c r="K17" s="361" t="s">
        <v>5</v>
      </c>
      <c r="L17" s="36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368"/>
      <c r="C18" s="371" t="s">
        <v>831</v>
      </c>
      <c r="D18" s="525" t="str">
        <f>VLOOKUP(C18,'Sales Master'!B$3:D$644,2,0)</f>
        <v>Chendol 浆咯</v>
      </c>
      <c r="E18" s="525"/>
      <c r="F18" s="525"/>
      <c r="G18" s="364">
        <v>1</v>
      </c>
      <c r="H18" s="365" t="str">
        <f>VLOOKUP(C18,'Sales Master'!B$3:F$936,5,0)</f>
        <v>NW(2.2:0.8) 3 KGS/ Bag</v>
      </c>
      <c r="I18" s="526" t="str">
        <f>VLOOKUP(C18,'Sales Master'!B$3:E$936,4,0)</f>
        <v>DO!</v>
      </c>
      <c r="J18" s="526"/>
      <c r="K18" s="366">
        <f>VLOOKUP(C18,'Sales Master'!B$3:CG$936,84,0)</f>
        <v>7</v>
      </c>
      <c r="L18" s="369">
        <f t="shared" ref="L18" si="0">K18*G18</f>
        <v>7</v>
      </c>
      <c r="N18" s="247">
        <f>VLOOKUP(C18,'Sales Master'!$B$3:$FA$3051,156,0)</f>
        <v>2.44</v>
      </c>
      <c r="O18" s="247">
        <f t="shared" ref="O18" si="1">K18-N18</f>
        <v>4.5600000000000005</v>
      </c>
      <c r="P18" s="247">
        <f t="shared" ref="P18" si="2">O18*G18</f>
        <v>4.5600000000000005</v>
      </c>
    </row>
    <row r="19" spans="2:16" ht="20.149999999999999" customHeight="1" x14ac:dyDescent="0.45">
      <c r="B19" s="21"/>
      <c r="C19" s="370" t="s">
        <v>850</v>
      </c>
      <c r="D19" s="430" t="str">
        <f>VLOOKUP(C19,'Sales Master'!B$3:D$644,2,0)</f>
        <v>Q Ball Q圆</v>
      </c>
      <c r="E19" s="430"/>
      <c r="F19" s="430"/>
      <c r="G19" s="45">
        <v>2</v>
      </c>
      <c r="H19" s="241" t="str">
        <f>VLOOKUP(C19,'Sales Master'!B$3:F$936,5,0)</f>
        <v>1 kg/Bag</v>
      </c>
      <c r="I19" s="432" t="str">
        <f>VLOOKUP(C19,'Sales Master'!B$3:E$936,4,0)</f>
        <v>FJ</v>
      </c>
      <c r="J19" s="432"/>
      <c r="K19" s="46">
        <f>VLOOKUP(C19,'Sales Master'!B$3:CG$936,84,0)</f>
        <v>6.5</v>
      </c>
      <c r="L19" s="23">
        <f>K19*G19</f>
        <v>13</v>
      </c>
      <c r="N19" s="247">
        <f>VLOOKUP(C19,'Sales Master'!$B$3:$FA$3051,156,0)</f>
        <v>4</v>
      </c>
      <c r="O19" s="247">
        <f>K19-N19</f>
        <v>2.5</v>
      </c>
      <c r="P19" s="247">
        <f>O19*G19</f>
        <v>5</v>
      </c>
    </row>
    <row r="20" spans="2:16" ht="20.149999999999999" customHeight="1" x14ac:dyDescent="0.45">
      <c r="B20" s="21"/>
      <c r="C20" s="370" t="s">
        <v>918</v>
      </c>
      <c r="D20" s="430" t="str">
        <f>VLOOKUP(C20,'Sales Master'!B$3:D$644,2,0)</f>
        <v>Chin Chow 仙草</v>
      </c>
      <c r="E20" s="430"/>
      <c r="F20" s="430"/>
      <c r="G20" s="45">
        <v>3</v>
      </c>
      <c r="H20" s="241" t="str">
        <f>VLOOKUP(C20,'Sales Master'!B$3:F$936,5,0)</f>
        <v>5KGS/PKT</v>
      </c>
      <c r="I20" s="432" t="str">
        <f>VLOOKUP(C20,'Sales Master'!B$3:E$936,4,0)</f>
        <v>TSM</v>
      </c>
      <c r="J20" s="432"/>
      <c r="K20" s="46">
        <f>VLOOKUP(C20,'Sales Master'!B$3:CG$936,84,0)</f>
        <v>5.3</v>
      </c>
      <c r="L20" s="23">
        <f t="shared" ref="L20:L21" si="3">K20*G20</f>
        <v>15.899999999999999</v>
      </c>
      <c r="N20" s="247">
        <f>VLOOKUP(C20,'Sales Master'!$B$3:$FA$3051,156,0)</f>
        <v>4.32</v>
      </c>
      <c r="O20" s="247">
        <f t="shared" ref="O20:O21" si="4">K20-N20</f>
        <v>0.97999999999999954</v>
      </c>
      <c r="P20" s="247">
        <f t="shared" ref="P20:P21" si="5">O20*G20</f>
        <v>2.9399999999999986</v>
      </c>
    </row>
    <row r="21" spans="2:16" ht="20.149999999999999" customHeight="1" x14ac:dyDescent="0.45">
      <c r="B21" s="21"/>
      <c r="C21" s="370" t="s">
        <v>978</v>
      </c>
      <c r="D21" s="430" t="str">
        <f>VLOOKUP(C21,'Sales Master'!B$3:D$644,2,0)</f>
        <v>GingKo Nut 白果粒</v>
      </c>
      <c r="E21" s="430"/>
      <c r="F21" s="430"/>
      <c r="G21" s="45">
        <v>1</v>
      </c>
      <c r="H21" s="241" t="str">
        <f>VLOOKUP(C21,'Sales Master'!B$3:F$936,5,0)</f>
        <v>5 kgs</v>
      </c>
      <c r="I21" s="432" t="str">
        <f>VLOOKUP(C21,'Sales Master'!B$3:E$936,4,0)</f>
        <v>-</v>
      </c>
      <c r="J21" s="432"/>
      <c r="K21" s="46">
        <f>VLOOKUP(C21,'Sales Master'!B$3:CG$936,84,0)</f>
        <v>19</v>
      </c>
      <c r="L21" s="23">
        <f t="shared" si="3"/>
        <v>19</v>
      </c>
      <c r="N21" s="247">
        <f>VLOOKUP(C21,'Sales Master'!$B$3:$FA$3051,156,0)</f>
        <v>14.5</v>
      </c>
      <c r="O21" s="247">
        <f t="shared" si="4"/>
        <v>4.5</v>
      </c>
      <c r="P21" s="247">
        <f t="shared" si="5"/>
        <v>4.5</v>
      </c>
    </row>
    <row r="22" spans="2:16" ht="20.149999999999999" customHeight="1" x14ac:dyDescent="0.45">
      <c r="B22" s="21"/>
      <c r="C22" s="370" t="s">
        <v>915</v>
      </c>
      <c r="D22" s="430" t="str">
        <f>VLOOKUP(C22,'Sales Master'!B$3:D$644,2,0)</f>
        <v>Atap Seeds in Syrup 亚嗒子</v>
      </c>
      <c r="E22" s="430"/>
      <c r="F22" s="430"/>
      <c r="G22" s="45">
        <v>1</v>
      </c>
      <c r="H22" s="241" t="str">
        <f>VLOOKUP(C22,'Sales Master'!B$3:F$936,5,0)</f>
        <v>NW (2.1:0.9) 3 kgs</v>
      </c>
      <c r="I22" s="432" t="str">
        <f>VLOOKUP(C22,'Sales Master'!B$3:E$936,4,0)</f>
        <v>2P</v>
      </c>
      <c r="J22" s="432"/>
      <c r="K22" s="46">
        <f>VLOOKUP(C22,'Sales Master'!B$3:CG$936,84,0)</f>
        <v>13</v>
      </c>
      <c r="L22" s="23">
        <f t="shared" ref="L22:L24" si="6">K22*G22</f>
        <v>13</v>
      </c>
      <c r="N22" s="247">
        <f>VLOOKUP(C22,'Sales Master'!$B$3:$FA$3051,156,0)</f>
        <v>10.692</v>
      </c>
      <c r="O22" s="247">
        <f t="shared" ref="O22:O24" si="7">K22-N22</f>
        <v>2.3079999999999998</v>
      </c>
      <c r="P22" s="247">
        <f t="shared" ref="P22:P24" si="8">O22*G22</f>
        <v>2.3079999999999998</v>
      </c>
    </row>
    <row r="23" spans="2:16" ht="20.149999999999999" customHeight="1" x14ac:dyDescent="0.45">
      <c r="B23" s="21"/>
      <c r="C23" s="370" t="s">
        <v>821</v>
      </c>
      <c r="D23" s="430" t="str">
        <f>VLOOKUP(C23,'Sales Master'!B$3:D$644,2,0)</f>
        <v>Mango Puree 芒果浆</v>
      </c>
      <c r="E23" s="430"/>
      <c r="F23" s="430"/>
      <c r="G23" s="99">
        <v>1</v>
      </c>
      <c r="H23" s="241" t="str">
        <f>VLOOKUP(C23,'Sales Master'!B$3:F$936,5,0)</f>
        <v>Box/盒</v>
      </c>
      <c r="I23" s="432" t="str">
        <f>VLOOKUP(C23,'Sales Master'!B$3:E$936,4,0)</f>
        <v>DO!</v>
      </c>
      <c r="J23" s="432"/>
      <c r="K23" s="46">
        <f>VLOOKUP(C23,'Sales Master'!B$3:CG$936,84,0)</f>
        <v>8</v>
      </c>
      <c r="L23" s="23">
        <f t="shared" si="6"/>
        <v>8</v>
      </c>
      <c r="N23" s="247">
        <f>VLOOKUP(C23,'Sales Master'!$B$3:$FA$3051,156,0)</f>
        <v>2.15</v>
      </c>
      <c r="O23" s="247">
        <f t="shared" si="7"/>
        <v>5.85</v>
      </c>
      <c r="P23" s="247">
        <f t="shared" si="8"/>
        <v>5.85</v>
      </c>
    </row>
    <row r="24" spans="2:16" ht="20.149999999999999" customHeight="1" x14ac:dyDescent="0.45">
      <c r="B24" s="21"/>
      <c r="C24" s="370" t="s">
        <v>866</v>
      </c>
      <c r="D24" s="430" t="str">
        <f>VLOOKUP(C24,'Sales Master'!B$3:D$644,2,0)</f>
        <v>Jelly Powder 文头雪粉 (Carrageenan)</v>
      </c>
      <c r="E24" s="430"/>
      <c r="F24" s="430"/>
      <c r="G24" s="45">
        <v>1</v>
      </c>
      <c r="H24" s="241" t="str">
        <f>VLOOKUP(C24,'Sales Master'!B$3:F$936,5,0)</f>
        <v>42gm x 10PKT/Bag</v>
      </c>
      <c r="I24" s="432" t="str">
        <f>VLOOKUP(C24,'Sales Master'!B$3:E$936,4,0)</f>
        <v>500/4000</v>
      </c>
      <c r="J24" s="432"/>
      <c r="K24" s="46">
        <f>VLOOKUP(C24,'Sales Master'!B$3:CG$936,84,0)</f>
        <v>30</v>
      </c>
      <c r="L24" s="23">
        <f t="shared" si="6"/>
        <v>30</v>
      </c>
      <c r="N24" s="247">
        <f>VLOOKUP(C24,'Sales Master'!$B$3:$FA$3051,156,0)</f>
        <v>11.55</v>
      </c>
      <c r="O24" s="247">
        <f t="shared" si="7"/>
        <v>18.45</v>
      </c>
      <c r="P24" s="247">
        <f t="shared" si="8"/>
        <v>18.45</v>
      </c>
    </row>
    <row r="25" spans="2:16" ht="20.149999999999999" customHeight="1" x14ac:dyDescent="0.45">
      <c r="B25" s="21"/>
      <c r="C25" s="370"/>
      <c r="D25" s="430"/>
      <c r="E25" s="430"/>
      <c r="F25" s="430"/>
      <c r="G25" s="45"/>
      <c r="H25" s="241"/>
      <c r="I25" s="432"/>
      <c r="J25" s="432"/>
      <c r="K25" s="46"/>
      <c r="L25" s="23"/>
      <c r="N25" s="247"/>
      <c r="O25" s="247"/>
      <c r="P25" s="247"/>
    </row>
    <row r="26" spans="2:16" ht="20.149999999999999" customHeight="1" x14ac:dyDescent="0.45">
      <c r="B26" s="21"/>
      <c r="C26" s="338"/>
      <c r="G26" s="45"/>
      <c r="H26" s="241"/>
      <c r="I26" s="432"/>
      <c r="J26" s="432"/>
      <c r="K26" s="46"/>
      <c r="L26" s="23"/>
      <c r="N26" s="344"/>
      <c r="O26" s="344"/>
      <c r="P26" s="344"/>
    </row>
    <row r="27" spans="2:16" x14ac:dyDescent="0.45">
      <c r="B27" s="28"/>
      <c r="C27" s="338"/>
      <c r="G27" s="45"/>
      <c r="H27" s="241"/>
      <c r="I27" s="206"/>
      <c r="J27" s="206"/>
      <c r="K27" s="397"/>
      <c r="L27" s="267"/>
      <c r="N27" s="344"/>
      <c r="O27" s="344"/>
      <c r="P27" s="344"/>
    </row>
    <row r="28" spans="2:16" x14ac:dyDescent="0.45">
      <c r="B28" s="28"/>
      <c r="C28" s="305" t="s">
        <v>1348</v>
      </c>
      <c r="D28" s="260"/>
      <c r="E28" s="260"/>
      <c r="F28" s="260"/>
      <c r="G28" s="99"/>
      <c r="H28" s="241"/>
      <c r="I28" s="432"/>
      <c r="J28" s="432"/>
      <c r="K28" s="46"/>
      <c r="L28" s="23"/>
      <c r="N28" s="344"/>
      <c r="O28" s="344"/>
      <c r="P28" s="344"/>
    </row>
    <row r="29" spans="2:16" x14ac:dyDescent="0.45">
      <c r="B29" s="28"/>
      <c r="C29" s="372" t="s">
        <v>1080</v>
      </c>
      <c r="D29" s="430" t="str">
        <f>VLOOKUP(C29,'Sales Master'!B$3:D$644,2,0)</f>
        <v>Fine Sugar 白糖</v>
      </c>
      <c r="E29" s="430"/>
      <c r="F29" s="430"/>
      <c r="G29" s="45">
        <v>1</v>
      </c>
      <c r="H29" s="241" t="str">
        <f>VLOOKUP(C29,'Sales Master'!B$3:F$936,5,0)</f>
        <v>25 KGS</v>
      </c>
      <c r="I29" s="432" t="str">
        <f>VLOOKUP(C29,'Sales Master'!B$3:E$936,4,0)</f>
        <v>MITR PHOL</v>
      </c>
      <c r="J29" s="432"/>
      <c r="K29" s="46">
        <v>33</v>
      </c>
      <c r="L29" s="29"/>
    </row>
    <row r="30" spans="2:16" x14ac:dyDescent="0.45">
      <c r="B30" s="21"/>
      <c r="L30" s="23"/>
      <c r="N30" s="247"/>
      <c r="O30" s="247"/>
      <c r="P30" s="247"/>
    </row>
    <row r="31" spans="2:16" x14ac:dyDescent="0.45">
      <c r="B31" s="21"/>
      <c r="L31" s="23"/>
      <c r="N31" s="247"/>
      <c r="O31" s="247"/>
      <c r="P31" s="247"/>
    </row>
    <row r="32" spans="2:16" ht="20.149999999999999" customHeight="1" thickBot="1" x14ac:dyDescent="0.5">
      <c r="B32" s="24"/>
      <c r="C32" s="25"/>
      <c r="D32" s="473"/>
      <c r="E32" s="473"/>
      <c r="F32" s="473"/>
      <c r="G32" s="25"/>
      <c r="H32" s="66"/>
      <c r="I32" s="66"/>
      <c r="J32" s="66"/>
      <c r="K32" s="26"/>
      <c r="L32" s="27"/>
    </row>
    <row r="33" spans="2:15" ht="20.149999999999999" customHeight="1" thickBot="1" x14ac:dyDescent="0.5">
      <c r="B33" s="28"/>
      <c r="L33" s="29"/>
    </row>
    <row r="34" spans="2:15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>
        <f>SUM(L18:L33)</f>
        <v>105.9</v>
      </c>
      <c r="M34" s="95">
        <f>SUM(P18:P32)-L34*0.02</f>
        <v>41.49</v>
      </c>
      <c r="N34" s="254">
        <f>M34/L34</f>
        <v>0.39178470254957509</v>
      </c>
    </row>
    <row r="35" spans="2:15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>
        <f>L37</f>
        <v>7.844444444444445</v>
      </c>
      <c r="N35" s="253"/>
    </row>
    <row r="36" spans="2:15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>
        <f>L34/108*100</f>
        <v>98.055555555555557</v>
      </c>
      <c r="N36" s="253">
        <v>214.7</v>
      </c>
    </row>
    <row r="37" spans="2:15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0.08</v>
      </c>
      <c r="L37" s="44">
        <f>L36*K37</f>
        <v>7.844444444444445</v>
      </c>
      <c r="N37" s="253">
        <v>200.65</v>
      </c>
      <c r="O37" s="95">
        <f>L36-N37</f>
        <v>-102.59444444444445</v>
      </c>
    </row>
    <row r="38" spans="2:15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>
        <f>L36+L37</f>
        <v>105.9</v>
      </c>
      <c r="N38" s="253"/>
    </row>
    <row r="39" spans="2:15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  <c r="N39" s="253"/>
    </row>
    <row r="40" spans="2:15" ht="20.149999999999999" customHeight="1" x14ac:dyDescent="0.45">
      <c r="B40" s="183" t="s">
        <v>749</v>
      </c>
      <c r="L40" s="29"/>
      <c r="N40" s="253"/>
    </row>
    <row r="41" spans="2:15" ht="20.149999999999999" customHeight="1" x14ac:dyDescent="0.45">
      <c r="B41" s="28"/>
      <c r="L41" s="29"/>
      <c r="N41" s="253"/>
    </row>
    <row r="42" spans="2:15" ht="20.149999999999999" customHeight="1" x14ac:dyDescent="0.45">
      <c r="B42" s="28"/>
      <c r="L42" s="29"/>
    </row>
    <row r="43" spans="2:15" ht="20.149999999999999" customHeight="1" x14ac:dyDescent="0.45">
      <c r="B43" s="28"/>
      <c r="L43" s="29"/>
    </row>
    <row r="44" spans="2:15" ht="20.149999999999999" customHeight="1" x14ac:dyDescent="0.45">
      <c r="B44" s="34"/>
      <c r="C44" s="35"/>
      <c r="D44" s="35"/>
      <c r="J44" s="35"/>
      <c r="K44" s="35"/>
      <c r="L44" s="36"/>
    </row>
    <row r="45" spans="2:15" ht="20.149999999999999" customHeight="1" x14ac:dyDescent="0.45">
      <c r="B45" s="28" t="s">
        <v>24</v>
      </c>
      <c r="J45" s="60" t="s">
        <v>25</v>
      </c>
      <c r="L45" s="29"/>
    </row>
    <row r="46" spans="2:15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  <row r="47" spans="2:15" ht="20.5" x14ac:dyDescent="0.45">
      <c r="F47" s="319"/>
    </row>
  </sheetData>
  <mergeCells count="39">
    <mergeCell ref="I26:J26"/>
    <mergeCell ref="D23:F23"/>
    <mergeCell ref="J38:K38"/>
    <mergeCell ref="D32:F32"/>
    <mergeCell ref="J34:K34"/>
    <mergeCell ref="J36:K36"/>
    <mergeCell ref="I28:J28"/>
    <mergeCell ref="D29:F29"/>
    <mergeCell ref="I29:J29"/>
    <mergeCell ref="I23:J23"/>
    <mergeCell ref="D24:F24"/>
    <mergeCell ref="I24:J24"/>
    <mergeCell ref="D25:F25"/>
    <mergeCell ref="I25:J25"/>
    <mergeCell ref="B1:L8"/>
    <mergeCell ref="K10:L10"/>
    <mergeCell ref="B11:D11"/>
    <mergeCell ref="F11:H15"/>
    <mergeCell ref="K11:L11"/>
    <mergeCell ref="B15:D15"/>
    <mergeCell ref="K15:L15"/>
    <mergeCell ref="B12:D12"/>
    <mergeCell ref="K12:L12"/>
    <mergeCell ref="B13:D13"/>
    <mergeCell ref="K13:L13"/>
    <mergeCell ref="B14:D14"/>
    <mergeCell ref="K14:L14"/>
    <mergeCell ref="D17:F17"/>
    <mergeCell ref="D18:F18"/>
    <mergeCell ref="I18:J18"/>
    <mergeCell ref="I22:J22"/>
    <mergeCell ref="D21:F21"/>
    <mergeCell ref="I21:J21"/>
    <mergeCell ref="I17:J17"/>
    <mergeCell ref="D22:F22"/>
    <mergeCell ref="D20:F20"/>
    <mergeCell ref="I20:J20"/>
    <mergeCell ref="D19:F19"/>
    <mergeCell ref="I19:J19"/>
  </mergeCells>
  <conditionalFormatting sqref="C28">
    <cfRule type="duplicateValues" dxfId="73" priority="1"/>
  </conditionalFormatting>
  <conditionalFormatting sqref="N13">
    <cfRule type="duplicateValues" dxfId="72" priority="4"/>
  </conditionalFormatting>
  <pageMargins left="0.70866141732283472" right="0.31496062992125984" top="0.23622047244094491" bottom="0.23622047244094491" header="0.31496062992125984" footer="0.31496062992125984"/>
  <pageSetup paperSize="9" scale="76" fitToHeight="0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66203-3237-42F1-99DC-0542AF79E44E}">
  <sheetPr codeName="Sheet87">
    <tabColor rgb="FF7030A0"/>
    <pageSetUpPr fitToPage="1"/>
  </sheetPr>
  <dimension ref="B1:O49"/>
  <sheetViews>
    <sheetView topLeftCell="A18" zoomScaleNormal="100" workbookViewId="0">
      <selection activeCell="B1" sqref="B1:L4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601</v>
      </c>
      <c r="J10" s="17" t="s">
        <v>26</v>
      </c>
      <c r="K10" s="455">
        <v>202003209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Granny's Pancake 面煎糕                     Hong Lim Market &amp; Food Centre. Blk 531 Upper Cross Street   #02-68 Singapore 051531</v>
      </c>
      <c r="G11" s="445"/>
      <c r="H11" s="446"/>
      <c r="J11" s="18" t="s">
        <v>9</v>
      </c>
      <c r="K11" s="502">
        <v>44168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377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1080</v>
      </c>
      <c r="D18" s="430" t="str">
        <f>VLOOKUP(C18,'Sales Master'!B$3:D$643,2,0)</f>
        <v>Fine Sugar 白糖</v>
      </c>
      <c r="E18" s="430"/>
      <c r="F18" s="430"/>
      <c r="G18" s="45">
        <v>1</v>
      </c>
      <c r="H18" s="65" t="str">
        <f>VLOOKUP(C18,'Sales Master'!B$3:F$936,5,0)</f>
        <v>25 KGS</v>
      </c>
      <c r="I18" s="431" t="str">
        <f>VLOOKUP(C18,'Sales Master'!B$3:E$936,4,0)</f>
        <v>MITR PHOL</v>
      </c>
      <c r="J18" s="431"/>
      <c r="K18" s="22">
        <f>VLOOKUP(C18,'Sales Master'!B$3:N$527,13,0)</f>
        <v>34</v>
      </c>
      <c r="L18" s="71">
        <f>K18*G18</f>
        <v>34</v>
      </c>
    </row>
    <row r="19" spans="2:15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5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5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5" ht="20.149999999999999" customHeight="1" x14ac:dyDescent="0.45">
      <c r="B22" s="70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5" ht="20.149999999999999" customHeight="1" x14ac:dyDescent="0.45">
      <c r="B23" s="70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5" ht="20.149999999999999" customHeight="1" x14ac:dyDescent="0.45">
      <c r="B24" s="70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5" ht="20.149999999999999" customHeight="1" x14ac:dyDescent="0.45">
      <c r="B25" s="70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5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5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5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5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71"/>
    </row>
    <row r="30" spans="2:15" ht="20.149999999999999" customHeight="1" x14ac:dyDescent="0.45">
      <c r="B30" s="21"/>
      <c r="C30" s="45"/>
      <c r="D30" s="430"/>
      <c r="E30" s="430"/>
      <c r="F30" s="430"/>
      <c r="G30" s="45"/>
      <c r="H30" s="65"/>
      <c r="I30" s="431"/>
      <c r="J30" s="431"/>
      <c r="K30" s="22"/>
      <c r="L30" s="71"/>
    </row>
    <row r="31" spans="2:15" ht="20.149999999999999" customHeight="1" x14ac:dyDescent="0.45">
      <c r="B31" s="21"/>
      <c r="C31" s="45"/>
      <c r="D31" s="430"/>
      <c r="E31" s="430"/>
      <c r="F31" s="430"/>
      <c r="G31" s="45"/>
      <c r="H31" s="65"/>
      <c r="I31" s="431"/>
      <c r="J31" s="431"/>
      <c r="K31" s="22"/>
      <c r="L31" s="71"/>
    </row>
    <row r="32" spans="2:15" ht="20.149999999999999" customHeight="1" x14ac:dyDescent="0.45">
      <c r="B32" s="21"/>
      <c r="C32" s="45"/>
      <c r="D32" s="430"/>
      <c r="E32" s="430"/>
      <c r="F32" s="430"/>
      <c r="G32" s="45"/>
      <c r="H32" s="65"/>
      <c r="I32" s="431"/>
      <c r="J32" s="431"/>
      <c r="K32" s="22"/>
      <c r="L32" s="71"/>
    </row>
    <row r="33" spans="2:12" ht="20.149999999999999" customHeight="1" x14ac:dyDescent="0.45">
      <c r="B33" s="21"/>
      <c r="C33" s="45"/>
      <c r="D33" s="430"/>
      <c r="E33" s="430"/>
      <c r="F33" s="430"/>
      <c r="G33" s="45"/>
      <c r="H33" s="65"/>
      <c r="I33" s="431"/>
      <c r="J33" s="431"/>
      <c r="K33" s="22"/>
      <c r="L33" s="71"/>
    </row>
    <row r="34" spans="2:12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473"/>
      <c r="E35" s="473"/>
      <c r="F35" s="473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474" t="s">
        <v>13</v>
      </c>
      <c r="K37" s="475"/>
      <c r="L37" s="30">
        <f>SUM(L15:L36)</f>
        <v>34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0" t="s">
        <v>553</v>
      </c>
      <c r="K38" s="113">
        <v>6.54E-2</v>
      </c>
      <c r="L38" s="32">
        <f>L40</f>
        <v>2.5185185185185186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476" t="s">
        <v>555</v>
      </c>
      <c r="K39" s="477"/>
      <c r="L39" s="114">
        <f>L37/108*100</f>
        <v>31.481481481481481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1" t="s">
        <v>554</v>
      </c>
      <c r="K40" s="112">
        <v>0.08</v>
      </c>
      <c r="L40" s="44">
        <f>L39*K40</f>
        <v>2.5185185185185186</v>
      </c>
    </row>
    <row r="41" spans="2:12" ht="20.149999999999999" customHeight="1" thickBot="1" x14ac:dyDescent="0.5">
      <c r="B41" s="11" t="s">
        <v>748</v>
      </c>
      <c r="C41" s="10"/>
      <c r="D41" s="10"/>
      <c r="E41" s="10"/>
      <c r="F41" s="10"/>
      <c r="G41" s="10"/>
      <c r="H41" s="10"/>
      <c r="I41" s="10"/>
      <c r="J41" s="478" t="s">
        <v>21</v>
      </c>
      <c r="K41" s="479"/>
      <c r="L41" s="33">
        <f>L39+L40</f>
        <v>34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83" t="s">
        <v>749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52">
    <mergeCell ref="D35:F35"/>
    <mergeCell ref="J37:K37"/>
    <mergeCell ref="J39:K39"/>
    <mergeCell ref="J41:K41"/>
    <mergeCell ref="D32:F32"/>
    <mergeCell ref="I32:J32"/>
    <mergeCell ref="D33:F33"/>
    <mergeCell ref="I33:J33"/>
    <mergeCell ref="D34:F34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62478-B7CA-4A38-B783-18C0788ABDB5}">
  <sheetPr codeName="Sheet65">
    <tabColor rgb="FF7030A0"/>
    <pageSetUpPr fitToPage="1"/>
  </sheetPr>
  <dimension ref="B1:CX349"/>
  <sheetViews>
    <sheetView topLeftCell="B9" zoomScaleNormal="100" workbookViewId="0">
      <selection activeCell="B1" sqref="B1:L4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476</v>
      </c>
      <c r="J10" s="17" t="s">
        <v>26</v>
      </c>
      <c r="K10" s="455">
        <v>202311127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ABC  兴兴                                                    Blk 6, Jalan Bukit Merah. #01-101 Singapore 150006</v>
      </c>
      <c r="G11" s="445"/>
      <c r="H11" s="446"/>
      <c r="J11" s="18" t="s">
        <v>9</v>
      </c>
      <c r="K11" s="460">
        <v>45236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806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139" t="s">
        <v>620</v>
      </c>
      <c r="L15" s="138"/>
    </row>
    <row r="16" spans="2:12" ht="19" thickBot="1" x14ac:dyDescent="0.5">
      <c r="J16" s="45"/>
    </row>
    <row r="17" spans="2:10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02" ht="20.149999999999999" customHeight="1" x14ac:dyDescent="0.45">
      <c r="B18" s="21"/>
      <c r="C18" s="338" t="s">
        <v>903</v>
      </c>
      <c r="D18" s="430" t="str">
        <f>VLOOKUP(C18,'Sales Master'!B$3:D$2223,2,0)</f>
        <v>Potato Starch 风车粉</v>
      </c>
      <c r="E18" s="430"/>
      <c r="F18" s="430"/>
      <c r="G18" s="99">
        <v>1</v>
      </c>
      <c r="H18" s="241" t="str">
        <f>VLOOKUP(C18,'Sales Master'!B$3:F$936,5,0)</f>
        <v>5 kg</v>
      </c>
      <c r="I18" s="432" t="str">
        <f>VLOOKUP(C18,'Sales Master'!B$3:E$936,4,0)</f>
        <v>RE-PACK</v>
      </c>
      <c r="J18" s="432"/>
      <c r="K18" s="22">
        <f>VLOOKUP(C18,'Sales Master'!B$8:CX$936,101,0)</f>
        <v>15</v>
      </c>
      <c r="L18" s="71">
        <f t="shared" ref="L18:L19" si="0">K18*G18</f>
        <v>15</v>
      </c>
      <c r="N18" s="247">
        <f>VLOOKUP(C18,'Sales Master'!$B$3:$FA$3051,156,0)</f>
        <v>8</v>
      </c>
      <c r="O18" s="247">
        <f t="shared" ref="O18" si="1">K18-N18</f>
        <v>7</v>
      </c>
      <c r="P18" s="247">
        <f t="shared" ref="P18" si="2">O18*G18</f>
        <v>7</v>
      </c>
      <c r="R18" s="60">
        <v>1</v>
      </c>
      <c r="S18" s="60" t="s">
        <v>33</v>
      </c>
      <c r="T18" s="60" t="s">
        <v>48</v>
      </c>
      <c r="V18" s="60">
        <v>10</v>
      </c>
      <c r="CX18" s="60">
        <v>7</v>
      </c>
    </row>
    <row r="19" spans="2:102" ht="20.149999999999999" customHeight="1" x14ac:dyDescent="0.45">
      <c r="B19" s="21"/>
      <c r="C19" s="338" t="s">
        <v>924</v>
      </c>
      <c r="D19" s="430" t="str">
        <f>VLOOKUP(C19,'Sales Master'!B$3:D$2223,2,0)</f>
        <v>Red Bean 红豆</v>
      </c>
      <c r="E19" s="430"/>
      <c r="F19" s="430"/>
      <c r="G19" s="99">
        <v>3</v>
      </c>
      <c r="H19" s="241" t="str">
        <f>VLOOKUP(C19,'Sales Master'!B$3:F$936,5,0)</f>
        <v>5 kgs</v>
      </c>
      <c r="I19" s="432" t="str">
        <f>VLOOKUP(C19,'Sales Master'!B$3:E$936,4,0)</f>
        <v>-</v>
      </c>
      <c r="J19" s="432"/>
      <c r="K19" s="22">
        <f>VLOOKUP(C19,'Sales Master'!B$8:CX$936,101,0)</f>
        <v>19.5</v>
      </c>
      <c r="L19" s="71">
        <f t="shared" si="0"/>
        <v>58.5</v>
      </c>
      <c r="N19" s="247">
        <f>VLOOKUP(C19,'Sales Master'!$B$3:$FA$3051,156,0)</f>
        <v>13.5</v>
      </c>
      <c r="O19" s="247">
        <f t="shared" ref="O19:O20" si="3">K19-N19</f>
        <v>6</v>
      </c>
      <c r="P19" s="247">
        <f t="shared" ref="P19:P20" si="4">O19*G19</f>
        <v>18</v>
      </c>
    </row>
    <row r="20" spans="2:102" ht="20.149999999999999" customHeight="1" x14ac:dyDescent="0.45">
      <c r="B20" s="21"/>
      <c r="C20" s="338" t="s">
        <v>937</v>
      </c>
      <c r="D20" s="430" t="str">
        <f>VLOOKUP(C20,'Sales Master'!B$3:D$2223,2,0)</f>
        <v>Green Bean 绿豆</v>
      </c>
      <c r="E20" s="430"/>
      <c r="F20" s="430"/>
      <c r="G20" s="99">
        <v>1</v>
      </c>
      <c r="H20" s="241" t="str">
        <f>VLOOKUP(C20,'Sales Master'!B$3:F$936,5,0)</f>
        <v>5 KGS</v>
      </c>
      <c r="I20" s="432" t="str">
        <f>VLOOKUP(C20,'Sales Master'!B$3:E$936,4,0)</f>
        <v>-</v>
      </c>
      <c r="J20" s="432"/>
      <c r="K20" s="22">
        <f>VLOOKUP(C20,'Sales Master'!B$8:CX$936,101,0)</f>
        <v>13.5</v>
      </c>
      <c r="L20" s="71">
        <f t="shared" ref="L20" si="5">K20*G20</f>
        <v>13.5</v>
      </c>
      <c r="N20" s="247">
        <f>VLOOKUP(C20,'Sales Master'!$B$3:$FA$3051,156,0)</f>
        <v>9.7199999999999989</v>
      </c>
      <c r="O20" s="247">
        <f t="shared" si="3"/>
        <v>3.7800000000000011</v>
      </c>
      <c r="P20" s="247">
        <f t="shared" si="4"/>
        <v>3.7800000000000011</v>
      </c>
    </row>
    <row r="21" spans="2:102" ht="20.149999999999999" customHeight="1" x14ac:dyDescent="0.45">
      <c r="B21" s="21"/>
      <c r="C21" s="338" t="s">
        <v>943</v>
      </c>
      <c r="D21" s="430" t="str">
        <f>VLOOKUP(C21,'Sales Master'!B$3:D$2223,2,0)</f>
        <v>Split Green Mung Bean 豆爽</v>
      </c>
      <c r="E21" s="430"/>
      <c r="F21" s="430"/>
      <c r="G21" s="99">
        <v>2</v>
      </c>
      <c r="H21" s="241" t="str">
        <f>VLOOKUP(C21,'Sales Master'!B$3:F$936,5,0)</f>
        <v>5 KG</v>
      </c>
      <c r="I21" s="432" t="str">
        <f>VLOOKUP(C21,'Sales Master'!B$3:E$936,4,0)</f>
        <v>SW</v>
      </c>
      <c r="J21" s="432"/>
      <c r="K21" s="22">
        <f>VLOOKUP(C21,'Sales Master'!B$8:CX$936,101,0)</f>
        <v>17.5</v>
      </c>
      <c r="L21" s="71">
        <f>K21*G21</f>
        <v>35</v>
      </c>
      <c r="N21" s="247">
        <f>VLOOKUP(C21,'Sales Master'!$B$3:$FA$3051,156,0)</f>
        <v>14.040000000000001</v>
      </c>
      <c r="O21" s="247">
        <f>K21-N21</f>
        <v>3.4599999999999991</v>
      </c>
      <c r="P21" s="247">
        <f>O21*G21</f>
        <v>6.9199999999999982</v>
      </c>
      <c r="R21" s="60">
        <v>3</v>
      </c>
      <c r="S21" s="60" t="s">
        <v>33</v>
      </c>
      <c r="T21" s="60" t="s">
        <v>48</v>
      </c>
      <c r="V21" s="60">
        <v>13</v>
      </c>
    </row>
    <row r="22" spans="2:102" ht="20.149999999999999" customHeight="1" x14ac:dyDescent="0.45">
      <c r="B22" s="21"/>
      <c r="C22" s="338" t="s">
        <v>953</v>
      </c>
      <c r="D22" s="430" t="str">
        <f>VLOOKUP(C22,'Sales Master'!B$3:D$2223,2,0)</f>
        <v>White Glutinous Rice 白糯米</v>
      </c>
      <c r="E22" s="430"/>
      <c r="F22" s="430"/>
      <c r="G22" s="99">
        <v>1</v>
      </c>
      <c r="H22" s="241" t="str">
        <f>VLOOKUP(C22,'Sales Master'!B$3:F$936,5,0)</f>
        <v>5 kgs</v>
      </c>
      <c r="I22" s="432" t="str">
        <f>VLOOKUP(C22,'Sales Master'!B$3:E$936,4,0)</f>
        <v>-</v>
      </c>
      <c r="J22" s="432"/>
      <c r="K22" s="22">
        <f>VLOOKUP(C22,'Sales Master'!B$8:CX$936,101,0)</f>
        <v>10</v>
      </c>
      <c r="L22" s="71">
        <f t="shared" ref="L22" si="6">K22*G22</f>
        <v>10</v>
      </c>
      <c r="N22" s="247">
        <f>VLOOKUP(C22,'Sales Master'!$B$3:$FA$3051,156,0)</f>
        <v>6</v>
      </c>
      <c r="O22" s="247">
        <f t="shared" ref="O22" si="7">K22-N22</f>
        <v>4</v>
      </c>
      <c r="P22" s="247">
        <f t="shared" ref="P22" si="8">O22*G22</f>
        <v>4</v>
      </c>
    </row>
    <row r="23" spans="2:102" ht="20.149999999999999" customHeight="1" x14ac:dyDescent="0.45">
      <c r="B23" s="21"/>
      <c r="C23" s="338" t="s">
        <v>1022</v>
      </c>
      <c r="D23" s="430" t="str">
        <f>VLOOKUP(C23,'Sales Master'!B$3:D$2223,2,0)</f>
        <v>Nata 椰果芊 15mm</v>
      </c>
      <c r="E23" s="430"/>
      <c r="F23" s="430"/>
      <c r="G23" s="99">
        <v>1</v>
      </c>
      <c r="H23" s="241" t="str">
        <f>VLOOKUP(C23,'Sales Master'!B$3:F$936,5,0)</f>
        <v>1 Can X A10</v>
      </c>
      <c r="I23" s="432" t="str">
        <f>VLOOKUP(C23,'Sales Master'!B$3:E$936,4,0)</f>
        <v>Chefs</v>
      </c>
      <c r="J23" s="432"/>
      <c r="K23" s="22">
        <f>VLOOKUP(C23,'Sales Master'!B$8:CX$936,101,0)</f>
        <v>9.5</v>
      </c>
      <c r="L23" s="71">
        <f>K23*G23</f>
        <v>9.5</v>
      </c>
      <c r="N23" s="247">
        <f>VLOOKUP(C23,'Sales Master'!$B$3:$FA$3051,156,0)</f>
        <v>6.916666666666667</v>
      </c>
      <c r="O23" s="247">
        <f>K23-N23</f>
        <v>2.583333333333333</v>
      </c>
      <c r="P23" s="247">
        <f>O23*G23</f>
        <v>2.583333333333333</v>
      </c>
    </row>
    <row r="24" spans="2:102" ht="20.149999999999999" customHeight="1" x14ac:dyDescent="0.45">
      <c r="B24" s="21"/>
      <c r="C24" s="338" t="s">
        <v>970</v>
      </c>
      <c r="D24" s="430" t="str">
        <f>VLOOKUP(C24,'Sales Master'!B$3:D$2223,2,0)</f>
        <v>Dried Longan 龙眼干</v>
      </c>
      <c r="E24" s="430"/>
      <c r="F24" s="430"/>
      <c r="G24" s="99">
        <v>2</v>
      </c>
      <c r="H24" s="241" t="str">
        <f>VLOOKUP(C24,'Sales Master'!B$3:F$936,5,0)</f>
        <v>1 kg</v>
      </c>
      <c r="I24" s="432" t="str">
        <f>VLOOKUP(C24,'Sales Master'!B$3:E$936,4,0)</f>
        <v>中</v>
      </c>
      <c r="J24" s="432"/>
      <c r="K24" s="22">
        <f>VLOOKUP(C24,'Sales Master'!B$8:CX$936,101,0)</f>
        <v>14</v>
      </c>
      <c r="L24" s="71">
        <f t="shared" ref="L24:L25" si="9">K24*G24</f>
        <v>28</v>
      </c>
      <c r="N24" s="247">
        <f>VLOOKUP(C24,'Sales Master'!$B$3:$FA$3051,156,0)</f>
        <v>9.8000000000000007</v>
      </c>
      <c r="O24" s="247">
        <f t="shared" ref="O24:O25" si="10">K24-N24</f>
        <v>4.1999999999999993</v>
      </c>
      <c r="P24" s="247">
        <f t="shared" ref="P24:P25" si="11">O24*G24</f>
        <v>8.3999999999999986</v>
      </c>
    </row>
    <row r="25" spans="2:102" ht="20.149999999999999" customHeight="1" x14ac:dyDescent="0.45">
      <c r="B25" s="21"/>
      <c r="C25" s="338" t="s">
        <v>1020</v>
      </c>
      <c r="D25" s="430" t="str">
        <f>VLOOKUP(C25,'Sales Master'!B$3:D$2223,2,0)</f>
        <v>Sea Coconut 海底椰</v>
      </c>
      <c r="E25" s="430"/>
      <c r="F25" s="430"/>
      <c r="G25" s="99">
        <v>2</v>
      </c>
      <c r="H25" s="241" t="str">
        <f>VLOOKUP(C25,'Sales Master'!B$3:F$936,5,0)</f>
        <v>1 Can X A10</v>
      </c>
      <c r="I25" s="432" t="str">
        <f>VLOOKUP(C25,'Sales Master'!B$3:E$936,4,0)</f>
        <v>Chefs</v>
      </c>
      <c r="J25" s="432"/>
      <c r="K25" s="22">
        <f>VLOOKUP(C25,'Sales Master'!B$8:CX$936,101,0)</f>
        <v>19</v>
      </c>
      <c r="L25" s="71">
        <f t="shared" si="9"/>
        <v>38</v>
      </c>
      <c r="N25" s="247">
        <f>VLOOKUP(C25,'Sales Master'!$B$3:$FA$3051,156,0)</f>
        <v>14.333333333333334</v>
      </c>
      <c r="O25" s="247">
        <f t="shared" si="10"/>
        <v>4.6666666666666661</v>
      </c>
      <c r="P25" s="247">
        <f t="shared" si="11"/>
        <v>9.3333333333333321</v>
      </c>
    </row>
    <row r="26" spans="2:102" ht="20.149999999999999" customHeight="1" x14ac:dyDescent="0.45">
      <c r="B26" s="21"/>
      <c r="C26" s="338"/>
      <c r="D26" s="69"/>
      <c r="E26" s="69"/>
      <c r="F26" s="69"/>
      <c r="G26" s="99"/>
      <c r="H26" s="241"/>
      <c r="I26" s="322"/>
      <c r="J26" s="322"/>
      <c r="K26" s="22"/>
      <c r="L26" s="71"/>
      <c r="N26" s="247"/>
      <c r="O26" s="247"/>
      <c r="P26" s="247"/>
    </row>
    <row r="27" spans="2:102" ht="20.149999999999999" customHeight="1" x14ac:dyDescent="0.45">
      <c r="B27" s="21"/>
      <c r="C27" s="338"/>
      <c r="D27" s="69"/>
      <c r="E27" s="69"/>
      <c r="F27" s="69"/>
      <c r="G27" s="99"/>
      <c r="H27" s="241"/>
      <c r="I27" s="322"/>
      <c r="J27" s="322"/>
      <c r="K27" s="22"/>
      <c r="L27" s="71"/>
      <c r="N27" s="247"/>
      <c r="O27" s="247"/>
      <c r="P27" s="247"/>
    </row>
    <row r="28" spans="2:102" ht="20.149999999999999" customHeight="1" x14ac:dyDescent="0.45">
      <c r="B28" s="21"/>
      <c r="C28" s="305" t="s">
        <v>1441</v>
      </c>
      <c r="D28" s="69"/>
      <c r="E28" s="69"/>
      <c r="F28" s="69"/>
      <c r="G28" s="99"/>
      <c r="H28" s="241"/>
      <c r="I28" s="322"/>
      <c r="J28" s="322"/>
      <c r="K28" s="22"/>
      <c r="L28" s="71"/>
      <c r="N28" s="247"/>
      <c r="O28" s="247"/>
      <c r="P28" s="247"/>
    </row>
    <row r="29" spans="2:102" ht="20.149999999999999" customHeight="1" x14ac:dyDescent="0.45">
      <c r="B29" s="21"/>
      <c r="C29" s="338" t="s">
        <v>943</v>
      </c>
      <c r="D29" s="430" t="str">
        <f>VLOOKUP(C29,'Sales Master'!B$3:D$2223,2,0)</f>
        <v>Split Green Mung Bean 豆爽</v>
      </c>
      <c r="E29" s="430"/>
      <c r="F29" s="430"/>
      <c r="G29" s="99">
        <v>1</v>
      </c>
      <c r="H29" s="241" t="str">
        <f>VLOOKUP(C29,'Sales Master'!B$3:F$936,5,0)</f>
        <v>5 KG</v>
      </c>
      <c r="I29" s="432" t="str">
        <f>VLOOKUP(C29,'Sales Master'!B$3:E$936,4,0)</f>
        <v>SW</v>
      </c>
      <c r="J29" s="432"/>
      <c r="K29" s="22">
        <v>18.5</v>
      </c>
      <c r="L29" s="71"/>
      <c r="N29" s="247"/>
      <c r="O29" s="247"/>
      <c r="P29" s="247"/>
    </row>
    <row r="30" spans="2:102" ht="20.149999999999999" customHeight="1" x14ac:dyDescent="0.45">
      <c r="B30" s="21"/>
      <c r="C30" s="338" t="s">
        <v>953</v>
      </c>
      <c r="D30" s="430" t="str">
        <f>VLOOKUP(C30,'Sales Master'!B$3:D$2223,2,0)</f>
        <v>White Glutinous Rice 白糯米</v>
      </c>
      <c r="E30" s="430"/>
      <c r="F30" s="430"/>
      <c r="G30" s="99">
        <v>1</v>
      </c>
      <c r="H30" s="241" t="str">
        <f>VLOOKUP(C30,'Sales Master'!B$3:F$936,5,0)</f>
        <v>5 kgs</v>
      </c>
      <c r="I30" s="432" t="str">
        <f>VLOOKUP(C30,'Sales Master'!B$3:E$936,4,0)</f>
        <v>-</v>
      </c>
      <c r="J30" s="432"/>
      <c r="K30" s="22">
        <v>11</v>
      </c>
      <c r="L30" s="71"/>
      <c r="N30" s="247"/>
      <c r="O30" s="247"/>
      <c r="P30" s="247"/>
    </row>
    <row r="31" spans="2:102" ht="20.149999999999999" customHeight="1" x14ac:dyDescent="0.45">
      <c r="B31" s="21"/>
      <c r="C31" s="338"/>
      <c r="D31" s="430"/>
      <c r="E31" s="430"/>
      <c r="F31" s="430"/>
      <c r="G31" s="99"/>
      <c r="H31" s="241"/>
      <c r="I31" s="432"/>
      <c r="J31" s="432"/>
      <c r="K31" s="22"/>
      <c r="L31" s="71"/>
      <c r="N31" s="247"/>
      <c r="O31" s="247"/>
      <c r="P31" s="247"/>
    </row>
    <row r="32" spans="2:102" ht="20.149999999999999" customHeight="1" x14ac:dyDescent="0.45">
      <c r="B32" s="21"/>
      <c r="C32" s="140"/>
      <c r="G32" s="99"/>
      <c r="H32" s="65"/>
      <c r="I32" s="431"/>
      <c r="J32" s="431"/>
      <c r="K32" s="96"/>
      <c r="L32" s="71"/>
    </row>
    <row r="33" spans="2:14" ht="20.149999999999999" customHeight="1" x14ac:dyDescent="0.45">
      <c r="B33" s="21"/>
      <c r="C33" s="338"/>
      <c r="D33" s="430"/>
      <c r="E33" s="430"/>
      <c r="F33" s="430"/>
      <c r="G33" s="99"/>
      <c r="H33" s="241"/>
      <c r="I33" s="432"/>
      <c r="J33" s="432"/>
      <c r="K33" s="96"/>
      <c r="L33" s="71"/>
    </row>
    <row r="34" spans="2:14" ht="20.149999999999999" customHeight="1" x14ac:dyDescent="0.45">
      <c r="B34" s="21"/>
      <c r="C34" s="45"/>
      <c r="D34" s="430"/>
      <c r="E34" s="430"/>
      <c r="F34" s="430"/>
      <c r="G34" s="99"/>
      <c r="H34" s="241"/>
      <c r="I34" s="432"/>
      <c r="J34" s="432"/>
      <c r="K34" s="22"/>
      <c r="L34" s="71"/>
    </row>
    <row r="35" spans="2:14" ht="20.149999999999999" customHeight="1" thickBot="1" x14ac:dyDescent="0.5">
      <c r="B35" s="24"/>
      <c r="C35" s="25"/>
      <c r="D35" s="473"/>
      <c r="E35" s="473"/>
      <c r="F35" s="473"/>
      <c r="G35" s="25"/>
      <c r="H35" s="66"/>
      <c r="I35" s="66"/>
      <c r="J35" s="66"/>
      <c r="K35" s="26"/>
      <c r="L35" s="27"/>
    </row>
    <row r="36" spans="2:14" ht="20.149999999999999" customHeight="1" thickBot="1" x14ac:dyDescent="0.5">
      <c r="B36" s="28"/>
      <c r="L36" s="29"/>
    </row>
    <row r="37" spans="2:14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474" t="s">
        <v>13</v>
      </c>
      <c r="K37" s="475"/>
      <c r="L37" s="30">
        <f>SUM(L18:L35)</f>
        <v>207.5</v>
      </c>
      <c r="M37" s="95">
        <f>SUM(P18:P35)-L38*0.02</f>
        <v>59.709259259259255</v>
      </c>
      <c r="N37" s="95">
        <f>M37-L38</f>
        <v>44.338888888888889</v>
      </c>
    </row>
    <row r="38" spans="2:14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0" t="s">
        <v>553</v>
      </c>
      <c r="K38" s="113">
        <v>6.54E-2</v>
      </c>
      <c r="L38" s="32">
        <f>L40</f>
        <v>15.37037037037037</v>
      </c>
    </row>
    <row r="39" spans="2:14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476" t="s">
        <v>555</v>
      </c>
      <c r="K39" s="477"/>
      <c r="L39" s="114">
        <f>L37/108*100</f>
        <v>192.12962962962962</v>
      </c>
    </row>
    <row r="40" spans="2:14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1" t="s">
        <v>554</v>
      </c>
      <c r="K40" s="112">
        <v>0.08</v>
      </c>
      <c r="L40" s="44">
        <f>L39*K40</f>
        <v>15.37037037037037</v>
      </c>
    </row>
    <row r="41" spans="2:14" ht="20.149999999999999" customHeight="1" thickBot="1" x14ac:dyDescent="0.5">
      <c r="B41" s="11" t="s">
        <v>748</v>
      </c>
      <c r="C41" s="10"/>
      <c r="D41" s="10"/>
      <c r="E41" s="10"/>
      <c r="F41" s="10"/>
      <c r="G41" s="10"/>
      <c r="H41" s="10"/>
      <c r="I41" s="10"/>
      <c r="J41" s="478" t="s">
        <v>21</v>
      </c>
      <c r="K41" s="479"/>
      <c r="L41" s="33">
        <f>L39+L40</f>
        <v>207.5</v>
      </c>
    </row>
    <row r="42" spans="2:14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4" ht="20.149999999999999" customHeight="1" x14ac:dyDescent="0.45">
      <c r="B43" s="183" t="s">
        <v>749</v>
      </c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28"/>
      <c r="L46" s="29"/>
    </row>
    <row r="47" spans="2:14" ht="20.149999999999999" customHeight="1" x14ac:dyDescent="0.45">
      <c r="B47" s="34"/>
      <c r="C47" s="35"/>
      <c r="D47" s="35"/>
      <c r="J47" s="35"/>
      <c r="K47" s="35"/>
      <c r="L47" s="36"/>
    </row>
    <row r="48" spans="2:14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  <row r="143" spans="102:102" x14ac:dyDescent="0.45">
      <c r="CX143" s="60">
        <v>68</v>
      </c>
    </row>
    <row r="153" spans="102:102" x14ac:dyDescent="0.45">
      <c r="CX153" s="60">
        <v>19.5</v>
      </c>
    </row>
    <row r="169" spans="102:102" x14ac:dyDescent="0.45">
      <c r="CX169" s="60">
        <v>13.5</v>
      </c>
    </row>
    <row r="176" spans="102:102" x14ac:dyDescent="0.45">
      <c r="CX176" s="60">
        <v>16.8</v>
      </c>
    </row>
    <row r="194" spans="102:102" x14ac:dyDescent="0.45">
      <c r="CX194" s="60">
        <v>11</v>
      </c>
    </row>
    <row r="343" spans="102:102" x14ac:dyDescent="0.45">
      <c r="CX343" s="60">
        <v>16.5</v>
      </c>
    </row>
    <row r="349" spans="102:102" x14ac:dyDescent="0.45">
      <c r="CX349" s="60">
        <v>30.5</v>
      </c>
    </row>
  </sheetData>
  <mergeCells count="45"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J41:K41"/>
    <mergeCell ref="D35:F35"/>
    <mergeCell ref="J37:K37"/>
    <mergeCell ref="J39:K39"/>
    <mergeCell ref="D33:F33"/>
    <mergeCell ref="I33:J33"/>
    <mergeCell ref="D34:F34"/>
    <mergeCell ref="I34:J34"/>
    <mergeCell ref="I32:J32"/>
    <mergeCell ref="D20:F20"/>
    <mergeCell ref="I19:J19"/>
    <mergeCell ref="I20:J20"/>
    <mergeCell ref="D22:F22"/>
    <mergeCell ref="D24:F24"/>
    <mergeCell ref="D23:F23"/>
    <mergeCell ref="I22:J22"/>
    <mergeCell ref="I24:J24"/>
    <mergeCell ref="I23:J23"/>
    <mergeCell ref="D25:F25"/>
    <mergeCell ref="I25:J25"/>
    <mergeCell ref="D30:F30"/>
    <mergeCell ref="I30:J30"/>
    <mergeCell ref="D29:F29"/>
    <mergeCell ref="I29:J29"/>
    <mergeCell ref="D31:F31"/>
    <mergeCell ref="I31:J31"/>
    <mergeCell ref="D18:F18"/>
    <mergeCell ref="B14:D14"/>
    <mergeCell ref="I18:J18"/>
    <mergeCell ref="I21:J21"/>
    <mergeCell ref="D21:F21"/>
    <mergeCell ref="D19:F19"/>
  </mergeCells>
  <conditionalFormatting sqref="C28">
    <cfRule type="duplicateValues" dxfId="71" priority="1"/>
  </conditionalFormatting>
  <conditionalFormatting sqref="C32:C33">
    <cfRule type="duplicateValues" dxfId="70" priority="142"/>
  </conditionalFormatting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82BB2-247D-483E-B9E7-3C5C4D24ECD7}">
  <sheetPr codeName="Sheet77">
    <tabColor rgb="FF7030A0"/>
    <pageSetUpPr fitToPage="1"/>
  </sheetPr>
  <dimension ref="B1:P44"/>
  <sheetViews>
    <sheetView topLeftCell="A6" zoomScaleNormal="100" workbookViewId="0">
      <selection activeCell="K27" sqref="K2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6.81640625" style="60" customWidth="1"/>
    <col min="9" max="9" width="1.54296875" style="60" customWidth="1"/>
    <col min="10" max="10" width="13.453125" style="60" customWidth="1"/>
    <col min="11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  <c r="I9" s="144"/>
      <c r="J9" s="144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498</v>
      </c>
      <c r="I10" s="144"/>
      <c r="J10" s="145" t="s">
        <v>26</v>
      </c>
      <c r="K10" s="455">
        <v>202310504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128 甜品                                                    Blk 11 Market &amp; Food Centre,         Telok Blangah Crescent . #01-128         Singapore 090011</v>
      </c>
      <c r="G11" s="445"/>
      <c r="H11" s="446"/>
      <c r="I11" s="144"/>
      <c r="J11" s="146" t="s">
        <v>9</v>
      </c>
      <c r="K11" s="460">
        <v>45220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I12" s="144"/>
      <c r="J12" s="146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I13" s="144"/>
      <c r="J13" s="146" t="s">
        <v>10</v>
      </c>
      <c r="K13" s="465" t="s">
        <v>83</v>
      </c>
      <c r="L13" s="466"/>
    </row>
    <row r="14" spans="2:12" ht="19.5" customHeight="1" x14ac:dyDescent="0.45">
      <c r="B14" s="462"/>
      <c r="C14" s="463"/>
      <c r="D14" s="464"/>
      <c r="E14" s="61"/>
      <c r="F14" s="447"/>
      <c r="G14" s="448"/>
      <c r="H14" s="449"/>
      <c r="I14" s="144"/>
      <c r="J14" s="146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I15" s="144"/>
      <c r="J15" s="147" t="s">
        <v>11</v>
      </c>
      <c r="K15" s="483"/>
      <c r="L15" s="484"/>
    </row>
    <row r="16" spans="2:12" ht="19" thickBot="1" x14ac:dyDescent="0.5">
      <c r="I16" s="144"/>
      <c r="J16" s="148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831</v>
      </c>
      <c r="D18" s="430" t="str">
        <f>VLOOKUP(C18,'Sales Master'!B$3:D$644,2,0)</f>
        <v>Chendol 浆咯</v>
      </c>
      <c r="E18" s="430"/>
      <c r="F18" s="430"/>
      <c r="G18" s="45">
        <v>4</v>
      </c>
      <c r="H18" s="241" t="str">
        <f>VLOOKUP(C18,'Sales Master'!B$3:F$926,5,0)</f>
        <v>NW(2.2:0.8) 3 KGS/ Bag</v>
      </c>
      <c r="I18" s="432" t="str">
        <f>VLOOKUP(C18,'Sales Master'!B$3:E$926,4,0)</f>
        <v>DO!</v>
      </c>
      <c r="J18" s="432"/>
      <c r="K18" s="46">
        <f>VLOOKUP(C18,'Sales Master'!$B$3:$BL$3204,63,0)</f>
        <v>7</v>
      </c>
      <c r="L18" s="71">
        <f t="shared" ref="L18:L21" si="0">K18*G18</f>
        <v>28</v>
      </c>
      <c r="N18" s="247">
        <f>VLOOKUP(C18,'Sales Master'!$B$3:$FA$3051,156,0)</f>
        <v>2.44</v>
      </c>
      <c r="O18" s="247">
        <f t="shared" ref="O18:O21" si="1">K18-N18</f>
        <v>4.5600000000000005</v>
      </c>
      <c r="P18" s="247">
        <f t="shared" ref="P18:P21" si="2">O18*G18</f>
        <v>18.240000000000002</v>
      </c>
    </row>
    <row r="19" spans="2:16" ht="20.149999999999999" customHeight="1" x14ac:dyDescent="0.45">
      <c r="B19" s="21"/>
      <c r="C19" s="338" t="s">
        <v>849</v>
      </c>
      <c r="D19" s="430" t="str">
        <f>VLOOKUP(C19,'Sales Master'!B$3:D$644,2,0)</f>
        <v>Tadpole 蝌蚪</v>
      </c>
      <c r="E19" s="430"/>
      <c r="F19" s="430"/>
      <c r="G19" s="45">
        <v>5</v>
      </c>
      <c r="H19" s="241" t="str">
        <f>VLOOKUP(C19,'Sales Master'!B$3:F$926,5,0)</f>
        <v>1 kg/Bag</v>
      </c>
      <c r="I19" s="432" t="str">
        <f>VLOOKUP(C19,'Sales Master'!B$3:E$926,4,0)</f>
        <v>FJ</v>
      </c>
      <c r="J19" s="432"/>
      <c r="K19" s="46">
        <f>VLOOKUP(C19,'Sales Master'!$B$3:$BL$3204,63,0)</f>
        <v>7</v>
      </c>
      <c r="L19" s="71">
        <f t="shared" si="0"/>
        <v>35</v>
      </c>
      <c r="N19" s="247">
        <f>VLOOKUP(C19,'Sales Master'!$B$3:$FA$3051,156,0)</f>
        <v>5.5</v>
      </c>
      <c r="O19" s="247">
        <f t="shared" si="1"/>
        <v>1.5</v>
      </c>
      <c r="P19" s="247">
        <f t="shared" si="2"/>
        <v>7.5</v>
      </c>
    </row>
    <row r="20" spans="2:16" ht="20.149999999999999" customHeight="1" x14ac:dyDescent="0.45">
      <c r="B20" s="21"/>
      <c r="C20" s="338" t="s">
        <v>887</v>
      </c>
      <c r="D20" s="430" t="str">
        <f>VLOOKUP(C20,'Sales Master'!B$3:D$644,2,0)</f>
        <v>Sweet Potato Powder 番薯粉</v>
      </c>
      <c r="E20" s="430"/>
      <c r="F20" s="430"/>
      <c r="G20" s="45">
        <v>2</v>
      </c>
      <c r="H20" s="241" t="str">
        <f>VLOOKUP(C20,'Sales Master'!B$3:F$926,5,0)</f>
        <v>3 kgs</v>
      </c>
      <c r="I20" s="432" t="str">
        <f>VLOOKUP(C20,'Sales Master'!B$3:E$926,4,0)</f>
        <v>RE-PACK</v>
      </c>
      <c r="J20" s="432"/>
      <c r="K20" s="46">
        <f>VLOOKUP(C20,'Sales Master'!$B$3:$BL$3204,63,0)</f>
        <v>12</v>
      </c>
      <c r="L20" s="71">
        <f t="shared" si="0"/>
        <v>24</v>
      </c>
      <c r="N20" s="247">
        <f>VLOOKUP(C20,'Sales Master'!$B$3:$FA$3051,156,0)</f>
        <v>7.4399999999999995</v>
      </c>
      <c r="O20" s="247">
        <f t="shared" si="1"/>
        <v>4.5600000000000005</v>
      </c>
      <c r="P20" s="247">
        <f t="shared" si="2"/>
        <v>9.120000000000001</v>
      </c>
    </row>
    <row r="21" spans="2:16" ht="20.149999999999999" customHeight="1" x14ac:dyDescent="0.45">
      <c r="B21" s="149"/>
      <c r="C21" s="338" t="s">
        <v>903</v>
      </c>
      <c r="D21" s="430" t="str">
        <f>VLOOKUP(C21,'Sales Master'!B$3:D$644,2,0)</f>
        <v>Potato Starch 风车粉</v>
      </c>
      <c r="E21" s="430"/>
      <c r="F21" s="430"/>
      <c r="G21" s="45">
        <v>1</v>
      </c>
      <c r="H21" s="241" t="str">
        <f>VLOOKUP(C21,'Sales Master'!B$3:F$926,5,0)</f>
        <v>5 kg</v>
      </c>
      <c r="I21" s="432" t="str">
        <f>VLOOKUP(C21,'Sales Master'!B$3:E$926,4,0)</f>
        <v>RE-PACK</v>
      </c>
      <c r="J21" s="432"/>
      <c r="K21" s="46">
        <f>VLOOKUP(C21,'Sales Master'!$B$3:$BL$3204,63,0)</f>
        <v>15</v>
      </c>
      <c r="L21" s="71">
        <f t="shared" si="0"/>
        <v>15</v>
      </c>
      <c r="N21" s="247">
        <f>VLOOKUP(C21,'Sales Master'!$B$3:$FA$3051,156,0)</f>
        <v>8</v>
      </c>
      <c r="O21" s="247">
        <f t="shared" si="1"/>
        <v>7</v>
      </c>
      <c r="P21" s="247">
        <f t="shared" si="2"/>
        <v>7</v>
      </c>
    </row>
    <row r="22" spans="2:16" ht="20.149999999999999" customHeight="1" x14ac:dyDescent="0.45">
      <c r="B22" s="21"/>
      <c r="C22" s="338"/>
      <c r="D22" s="430"/>
      <c r="E22" s="430"/>
      <c r="F22" s="430"/>
      <c r="G22" s="45"/>
      <c r="H22" s="314"/>
      <c r="I22" s="432"/>
      <c r="J22" s="432"/>
      <c r="K22" s="46"/>
      <c r="L22" s="71"/>
      <c r="N22" s="247"/>
      <c r="O22" s="247"/>
      <c r="P22" s="247"/>
    </row>
    <row r="23" spans="2:16" ht="20.149999999999999" customHeight="1" x14ac:dyDescent="0.45">
      <c r="B23" s="21"/>
      <c r="C23" s="338"/>
      <c r="D23" s="430"/>
      <c r="E23" s="430"/>
      <c r="F23" s="430"/>
      <c r="G23" s="45"/>
      <c r="H23" s="314"/>
      <c r="I23" s="432"/>
      <c r="J23" s="432"/>
      <c r="K23" s="46"/>
      <c r="L23" s="71"/>
      <c r="N23" s="247"/>
      <c r="O23" s="247"/>
      <c r="P23" s="247"/>
    </row>
    <row r="24" spans="2:16" ht="20.149999999999999" customHeight="1" x14ac:dyDescent="0.45">
      <c r="B24" s="21"/>
      <c r="C24" s="338"/>
      <c r="D24" s="430"/>
      <c r="E24" s="430"/>
      <c r="F24" s="430"/>
      <c r="G24" s="45"/>
      <c r="H24" s="314"/>
      <c r="I24" s="432"/>
      <c r="J24" s="432"/>
      <c r="K24" s="46"/>
      <c r="L24" s="71"/>
      <c r="N24" s="247"/>
      <c r="O24" s="247"/>
      <c r="P24" s="247"/>
    </row>
    <row r="25" spans="2:16" ht="20.149999999999999" customHeight="1" x14ac:dyDescent="0.45">
      <c r="B25" s="21"/>
      <c r="C25" s="305" t="s">
        <v>1757</v>
      </c>
      <c r="D25" s="69"/>
      <c r="E25" s="69"/>
      <c r="F25" s="69"/>
      <c r="G25" s="99"/>
      <c r="H25" s="65"/>
      <c r="I25" s="65"/>
      <c r="J25" s="65"/>
      <c r="K25" s="22"/>
      <c r="L25" s="71"/>
    </row>
    <row r="26" spans="2:16" ht="20.149999999999999" customHeight="1" x14ac:dyDescent="0.45">
      <c r="B26" s="21"/>
      <c r="C26" s="338" t="s">
        <v>887</v>
      </c>
      <c r="D26" s="430" t="str">
        <f>VLOOKUP(C26,'Sales Master'!B$3:D$643,2,0)</f>
        <v>Sweet Potato Powder 番薯粉</v>
      </c>
      <c r="E26" s="430"/>
      <c r="F26" s="430"/>
      <c r="G26" s="99">
        <v>1</v>
      </c>
      <c r="H26" s="65" t="str">
        <f>VLOOKUP(C26,'Sales Master'!B$3:F$936,5,0)</f>
        <v>3 kgs</v>
      </c>
      <c r="I26" s="431" t="str">
        <f>VLOOKUP(C26,'Sales Master'!B$3:E$936,4,0)</f>
        <v>RE-PACK</v>
      </c>
      <c r="J26" s="431"/>
      <c r="K26" s="22">
        <v>12</v>
      </c>
      <c r="L26" s="71"/>
    </row>
    <row r="27" spans="2:16" ht="20.149999999999999" customHeight="1" x14ac:dyDescent="0.45">
      <c r="B27" s="21"/>
      <c r="C27" s="45"/>
      <c r="D27" s="430"/>
      <c r="E27" s="430"/>
      <c r="F27" s="430"/>
      <c r="G27" s="45"/>
      <c r="H27" s="241"/>
      <c r="I27" s="432"/>
      <c r="J27" s="432"/>
      <c r="K27" s="118"/>
      <c r="L27" s="71"/>
    </row>
    <row r="28" spans="2:16" ht="20.149999999999999" customHeight="1" x14ac:dyDescent="0.45">
      <c r="B28" s="21"/>
      <c r="C28" s="45"/>
      <c r="D28" s="503"/>
      <c r="E28" s="503"/>
      <c r="F28" s="503"/>
      <c r="G28" s="45"/>
      <c r="H28" s="65"/>
      <c r="I28" s="512"/>
      <c r="J28" s="512"/>
      <c r="K28" s="46"/>
      <c r="L28" s="71"/>
    </row>
    <row r="29" spans="2:16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513"/>
      <c r="J29" s="513"/>
      <c r="K29" s="26"/>
      <c r="L29" s="27"/>
    </row>
    <row r="30" spans="2:16" ht="20.149999999999999" customHeight="1" thickBot="1" x14ac:dyDescent="0.5">
      <c r="B30" s="28"/>
      <c r="I30" s="144"/>
      <c r="J30" s="144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50"/>
      <c r="J31" s="474" t="s">
        <v>13</v>
      </c>
      <c r="K31" s="475"/>
      <c r="L31" s="30">
        <f>SUM(L17:L28)</f>
        <v>102</v>
      </c>
      <c r="M31" s="95">
        <f>SUM(P12:P29)-L31*0.02</f>
        <v>39.82</v>
      </c>
      <c r="N31" s="248">
        <f>M31/L31</f>
        <v>0.39039215686274509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50"/>
      <c r="J32" s="110" t="s">
        <v>20</v>
      </c>
      <c r="K32" s="31"/>
      <c r="L32" s="32">
        <f>L34</f>
        <v>7.5555555555555554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50"/>
      <c r="J33" s="530" t="s">
        <v>19</v>
      </c>
      <c r="K33" s="531"/>
      <c r="L33" s="114">
        <f>L31/108*100</f>
        <v>94.444444444444443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50"/>
      <c r="J34" s="111" t="s">
        <v>15</v>
      </c>
      <c r="K34" s="112">
        <v>0.08</v>
      </c>
      <c r="L34" s="44">
        <f>L33*K34</f>
        <v>7.5555555555555554</v>
      </c>
    </row>
    <row r="35" spans="2:12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50"/>
      <c r="J35" s="478" t="s">
        <v>21</v>
      </c>
      <c r="K35" s="479"/>
      <c r="L35" s="33">
        <f>L33+L34</f>
        <v>102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50"/>
      <c r="J36" s="144"/>
      <c r="L36" s="29"/>
    </row>
    <row r="37" spans="2:12" ht="20.149999999999999" customHeight="1" x14ac:dyDescent="0.45">
      <c r="B37" s="183" t="s">
        <v>749</v>
      </c>
      <c r="I37" s="144"/>
      <c r="J37" s="144"/>
      <c r="L37" s="29"/>
    </row>
    <row r="38" spans="2:12" ht="20.149999999999999" customHeight="1" x14ac:dyDescent="0.45">
      <c r="B38" s="28"/>
      <c r="I38" s="144"/>
      <c r="J38" s="144"/>
      <c r="L38" s="29"/>
    </row>
    <row r="39" spans="2:12" ht="20.149999999999999" customHeight="1" x14ac:dyDescent="0.45">
      <c r="B39" s="28"/>
      <c r="I39" s="144"/>
      <c r="J39" s="144"/>
      <c r="L39" s="29"/>
    </row>
    <row r="40" spans="2:12" ht="20.149999999999999" customHeight="1" x14ac:dyDescent="0.45">
      <c r="B40" s="28"/>
      <c r="I40" s="144"/>
      <c r="J40" s="144"/>
      <c r="L40" s="29"/>
    </row>
    <row r="41" spans="2:12" ht="20.149999999999999" customHeight="1" x14ac:dyDescent="0.45">
      <c r="B41" s="34"/>
      <c r="C41" s="35"/>
      <c r="D41" s="35"/>
      <c r="I41" s="144"/>
      <c r="J41" s="151"/>
      <c r="K41" s="35"/>
      <c r="L41" s="36"/>
    </row>
    <row r="42" spans="2:12" ht="20.149999999999999" customHeight="1" x14ac:dyDescent="0.45">
      <c r="B42" s="28" t="s">
        <v>24</v>
      </c>
      <c r="I42" s="144"/>
      <c r="J42" s="144" t="s">
        <v>25</v>
      </c>
      <c r="L42" s="29"/>
    </row>
    <row r="43" spans="2:12" ht="20.149999999999999" customHeight="1" thickBot="1" x14ac:dyDescent="0.5">
      <c r="B43" s="37"/>
      <c r="C43" s="62"/>
      <c r="D43" s="62"/>
      <c r="E43" s="62"/>
      <c r="F43" s="62"/>
      <c r="G43" s="62"/>
      <c r="H43" s="62"/>
      <c r="I43" s="152"/>
      <c r="J43" s="152"/>
      <c r="K43" s="62"/>
      <c r="L43" s="38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39">
    <mergeCell ref="B14:D14"/>
    <mergeCell ref="K14:L14"/>
    <mergeCell ref="I23:J23"/>
    <mergeCell ref="J31:K31"/>
    <mergeCell ref="J33:K33"/>
    <mergeCell ref="I17:J17"/>
    <mergeCell ref="D22:F22"/>
    <mergeCell ref="I22:J22"/>
    <mergeCell ref="D19:F19"/>
    <mergeCell ref="I19:J19"/>
    <mergeCell ref="D20:F20"/>
    <mergeCell ref="D23:F23"/>
    <mergeCell ref="D24:F24"/>
    <mergeCell ref="I24:J24"/>
    <mergeCell ref="D26:F26"/>
    <mergeCell ref="I26:J26"/>
    <mergeCell ref="J35:K35"/>
    <mergeCell ref="D29:F29"/>
    <mergeCell ref="I29:J29"/>
    <mergeCell ref="D27:F27"/>
    <mergeCell ref="D28:F28"/>
    <mergeCell ref="I28:J28"/>
    <mergeCell ref="I27:J27"/>
    <mergeCell ref="B1:L8"/>
    <mergeCell ref="D21:F21"/>
    <mergeCell ref="I21:J21"/>
    <mergeCell ref="D18:F18"/>
    <mergeCell ref="I18:J18"/>
    <mergeCell ref="K10:L10"/>
    <mergeCell ref="B11:D11"/>
    <mergeCell ref="F11:H15"/>
    <mergeCell ref="K11:L11"/>
    <mergeCell ref="K12:L12"/>
    <mergeCell ref="B12:D12"/>
    <mergeCell ref="I20:J20"/>
    <mergeCell ref="B13:D13"/>
    <mergeCell ref="K13:L13"/>
    <mergeCell ref="K15:L15"/>
    <mergeCell ref="D17:F17"/>
  </mergeCells>
  <conditionalFormatting sqref="C25:C26">
    <cfRule type="duplicateValues" dxfId="69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A4292-CFD8-4435-AE1C-6635C52D12D0}">
  <sheetPr codeName="Sheet61">
    <tabColor rgb="FF7030A0"/>
    <pageSetUpPr fitToPage="1"/>
  </sheetPr>
  <dimension ref="B1:V42"/>
  <sheetViews>
    <sheetView topLeftCell="B22" zoomScaleNormal="100" workbookViewId="0">
      <selection activeCell="H21" sqref="H2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446</v>
      </c>
      <c r="J10" s="17" t="s">
        <v>26</v>
      </c>
      <c r="K10" s="455">
        <v>202111236</v>
      </c>
      <c r="L10" s="456"/>
    </row>
    <row r="11" spans="2:12" ht="20.149999999999999" customHeight="1" x14ac:dyDescent="0.45">
      <c r="B11" s="480" t="s">
        <v>525</v>
      </c>
      <c r="C11" s="481"/>
      <c r="D11" s="482"/>
      <c r="E11" s="61"/>
      <c r="F11" s="444" t="str">
        <f>VLOOKUP(H10,'Delivery Location'!A$4:N$423,2,0)</f>
        <v>AVO                                                             International Plaza, 10 Anson Road  #01-55 Singapore 079903</v>
      </c>
      <c r="G11" s="445"/>
      <c r="H11" s="446"/>
      <c r="J11" s="18" t="s">
        <v>9</v>
      </c>
      <c r="K11" s="502" t="s">
        <v>1215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22" ht="20.149999999999999" customHeight="1" x14ac:dyDescent="0.45">
      <c r="B18" s="21"/>
      <c r="C18" s="45" t="s">
        <v>819</v>
      </c>
      <c r="D18" s="534" t="str">
        <f>VLOOKUP(C18,'Sales Master'!B$3:D$316,2,0)</f>
        <v>Fresh Soursop Seedless 红毛榴莲(无)</v>
      </c>
      <c r="E18" s="534"/>
      <c r="F18" s="534"/>
      <c r="G18" s="115">
        <v>3</v>
      </c>
      <c r="H18" s="65" t="str">
        <f>VLOOKUP(C18,'Sales Master'!B$3:F$936,5,0)</f>
        <v>5 KGS/ Tub桶</v>
      </c>
      <c r="I18" s="431" t="str">
        <f>VLOOKUP(C18,'Sales Master'!B$3:E$936,4,0)</f>
        <v>DO!</v>
      </c>
      <c r="J18" s="431"/>
      <c r="K18" s="22">
        <f>VLOOKUP(C18,'Sales Master'!$B$3:$P$3187,15,0)</f>
        <v>38</v>
      </c>
      <c r="L18" s="71">
        <f>K18*G18</f>
        <v>114</v>
      </c>
      <c r="N18" s="60" t="s">
        <v>344</v>
      </c>
      <c r="O18" s="60" t="s">
        <v>174</v>
      </c>
      <c r="R18" s="60">
        <v>2</v>
      </c>
      <c r="S18" s="60" t="s">
        <v>59</v>
      </c>
      <c r="T18" s="60" t="s">
        <v>301</v>
      </c>
      <c r="V18" s="60">
        <v>9</v>
      </c>
    </row>
    <row r="19" spans="2:22" ht="20.149999999999999" customHeight="1" x14ac:dyDescent="0.45">
      <c r="B19" s="21"/>
      <c r="C19" s="45" t="s">
        <v>833</v>
      </c>
      <c r="D19" s="430" t="str">
        <f>VLOOKUP(C19,'Sales Master'!B$3:D$316,2,0)</f>
        <v>Coconut Sugar Syrup 椰糖浆</v>
      </c>
      <c r="E19" s="430"/>
      <c r="F19" s="430"/>
      <c r="G19" s="45">
        <v>6</v>
      </c>
      <c r="H19" s="65" t="str">
        <f>VLOOKUP(C19,'Sales Master'!B$3:F$936,5,0)</f>
        <v>4L/ Btl支</v>
      </c>
      <c r="I19" s="431" t="str">
        <f>VLOOKUP(C19,'Sales Master'!B$3:E$936,4,0)</f>
        <v>DO!</v>
      </c>
      <c r="J19" s="431"/>
      <c r="K19" s="22">
        <f>VLOOKUP(C19,'Sales Master'!$B$3:$P$3187,15,0)</f>
        <v>16</v>
      </c>
      <c r="L19" s="71">
        <f>K19*G19</f>
        <v>96</v>
      </c>
      <c r="N19" s="60" t="s">
        <v>346</v>
      </c>
      <c r="O19" s="60" t="s">
        <v>167</v>
      </c>
      <c r="R19" s="60">
        <v>4</v>
      </c>
      <c r="S19" s="60" t="s">
        <v>33</v>
      </c>
      <c r="T19" s="60" t="s">
        <v>62</v>
      </c>
      <c r="V19" s="60">
        <v>4.5</v>
      </c>
    </row>
    <row r="20" spans="2:22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532"/>
      <c r="L20" s="533"/>
      <c r="N20" s="60" t="s">
        <v>322</v>
      </c>
      <c r="O20" s="60" t="s">
        <v>166</v>
      </c>
      <c r="R20" s="60">
        <v>2</v>
      </c>
      <c r="S20" s="60" t="s">
        <v>59</v>
      </c>
      <c r="T20" s="60" t="s">
        <v>301</v>
      </c>
      <c r="V20" s="60">
        <v>6.5</v>
      </c>
    </row>
    <row r="21" spans="2:22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  <c r="N21" s="60" t="s">
        <v>345</v>
      </c>
      <c r="O21" s="60" t="s">
        <v>162</v>
      </c>
      <c r="R21" s="60">
        <v>1</v>
      </c>
      <c r="S21" s="60" t="s">
        <v>33</v>
      </c>
      <c r="T21" s="60" t="s">
        <v>31</v>
      </c>
      <c r="V21" s="60">
        <v>6</v>
      </c>
    </row>
    <row r="22" spans="2:22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71"/>
      <c r="N22" s="60" t="s">
        <v>257</v>
      </c>
      <c r="O22" s="60" t="s">
        <v>160</v>
      </c>
      <c r="R22" s="60">
        <v>1</v>
      </c>
      <c r="S22" s="60" t="s">
        <v>59</v>
      </c>
      <c r="T22" s="60" t="s">
        <v>381</v>
      </c>
      <c r="V22" s="60">
        <v>28</v>
      </c>
    </row>
    <row r="23" spans="2:22" ht="20.149999999999999" customHeight="1" x14ac:dyDescent="0.45">
      <c r="B23" s="70"/>
      <c r="C23" s="45"/>
      <c r="D23" s="430"/>
      <c r="E23" s="430"/>
      <c r="F23" s="430"/>
      <c r="G23" s="45"/>
      <c r="H23" s="65"/>
      <c r="I23" s="431"/>
      <c r="J23" s="431"/>
      <c r="K23" s="22"/>
      <c r="L23" s="71"/>
      <c r="N23" s="60" t="s">
        <v>277</v>
      </c>
      <c r="O23" s="60" t="s">
        <v>169</v>
      </c>
      <c r="R23" s="60">
        <v>2</v>
      </c>
      <c r="S23" s="60" t="s">
        <v>39</v>
      </c>
      <c r="T23" s="60" t="s">
        <v>69</v>
      </c>
      <c r="V23" s="60">
        <v>14</v>
      </c>
    </row>
    <row r="24" spans="2:22" ht="20.149999999999999" customHeight="1" x14ac:dyDescent="0.45">
      <c r="B24" s="70"/>
      <c r="C24" s="172" t="s">
        <v>1220</v>
      </c>
      <c r="G24" s="99"/>
      <c r="H24" s="65"/>
      <c r="I24" s="431"/>
      <c r="J24" s="431"/>
      <c r="K24" s="96"/>
      <c r="L24" s="71"/>
      <c r="N24" s="60" t="s">
        <v>273</v>
      </c>
      <c r="O24" s="60" t="s">
        <v>200</v>
      </c>
      <c r="R24" s="60">
        <v>1</v>
      </c>
      <c r="S24" s="60" t="s">
        <v>33</v>
      </c>
      <c r="T24" s="60" t="s">
        <v>290</v>
      </c>
      <c r="V24" s="60">
        <v>42</v>
      </c>
    </row>
    <row r="25" spans="2:22" ht="20.149999999999999" customHeight="1" x14ac:dyDescent="0.45">
      <c r="B25" s="70"/>
      <c r="C25" s="45" t="s">
        <v>819</v>
      </c>
      <c r="D25" s="430" t="str">
        <f>VLOOKUP(C25,'Sales Master'!B$3:D$644,2,0)</f>
        <v>Fresh Soursop Seedless 红毛榴莲(无)</v>
      </c>
      <c r="E25" s="430"/>
      <c r="F25" s="430"/>
      <c r="G25" s="99">
        <v>1</v>
      </c>
      <c r="H25" s="65" t="str">
        <f>VLOOKUP(C25,'Sales Master'!B$3:F$936,5,0)</f>
        <v>5 KGS/ Tub桶</v>
      </c>
      <c r="I25" s="431" t="str">
        <f>VLOOKUP(C25,'Sales Master'!B$3:E$936,4,0)</f>
        <v>DO!</v>
      </c>
      <c r="J25" s="431"/>
      <c r="K25" s="96">
        <v>38</v>
      </c>
      <c r="L25" s="71"/>
    </row>
    <row r="26" spans="2:22" ht="20.149999999999999" customHeight="1" x14ac:dyDescent="0.45">
      <c r="B26" s="21"/>
      <c r="C26" s="45"/>
      <c r="D26" s="503"/>
      <c r="E26" s="503"/>
      <c r="F26" s="503"/>
      <c r="G26" s="45"/>
      <c r="H26" s="65"/>
      <c r="I26" s="65"/>
      <c r="J26" s="65"/>
      <c r="K26" s="22"/>
      <c r="L26" s="23"/>
    </row>
    <row r="27" spans="2:22" ht="20.149999999999999" customHeight="1" x14ac:dyDescent="0.45">
      <c r="B27" s="21"/>
      <c r="C27" s="45"/>
      <c r="D27" s="503"/>
      <c r="E27" s="503"/>
      <c r="F27" s="503"/>
      <c r="G27" s="45"/>
      <c r="H27" s="65"/>
      <c r="I27" s="65"/>
      <c r="J27" s="65"/>
      <c r="K27" s="22"/>
      <c r="L27" s="23"/>
    </row>
    <row r="28" spans="2:22" ht="20.149999999999999" customHeight="1" thickBot="1" x14ac:dyDescent="0.5">
      <c r="B28" s="24"/>
      <c r="C28" s="25"/>
      <c r="D28" s="473"/>
      <c r="E28" s="473"/>
      <c r="F28" s="473"/>
      <c r="G28" s="25"/>
      <c r="H28" s="66"/>
      <c r="I28" s="66"/>
      <c r="J28" s="66"/>
      <c r="K28" s="26"/>
      <c r="L28" s="27"/>
    </row>
    <row r="29" spans="2:22" ht="20.149999999999999" customHeight="1" thickBot="1" x14ac:dyDescent="0.5">
      <c r="B29" s="28"/>
      <c r="L29" s="29"/>
    </row>
    <row r="30" spans="2:22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474" t="s">
        <v>13</v>
      </c>
      <c r="K30" s="475"/>
      <c r="L30" s="30">
        <f>SUM(L16:L29)</f>
        <v>210</v>
      </c>
    </row>
    <row r="31" spans="2:22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0" t="s">
        <v>553</v>
      </c>
      <c r="K31" s="113">
        <v>6.54E-2</v>
      </c>
      <c r="L31" s="32">
        <f>L33</f>
        <v>15.555555555555555</v>
      </c>
    </row>
    <row r="32" spans="2:22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476" t="s">
        <v>555</v>
      </c>
      <c r="K32" s="477"/>
      <c r="L32" s="114">
        <f>L30/108*100</f>
        <v>194.44444444444443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1" t="s">
        <v>554</v>
      </c>
      <c r="K33" s="112">
        <v>0.08</v>
      </c>
      <c r="L33" s="44">
        <f>L32*K33</f>
        <v>15.555555555555555</v>
      </c>
    </row>
    <row r="34" spans="2:12" ht="20.149999999999999" customHeight="1" thickBot="1" x14ac:dyDescent="0.5">
      <c r="B34" s="11" t="s">
        <v>748</v>
      </c>
      <c r="C34" s="10"/>
      <c r="D34" s="10"/>
      <c r="E34" s="10"/>
      <c r="F34" s="10"/>
      <c r="G34" s="10"/>
      <c r="H34" s="10"/>
      <c r="I34" s="10"/>
      <c r="J34" s="478" t="s">
        <v>21</v>
      </c>
      <c r="K34" s="479"/>
      <c r="L34" s="33">
        <f>L32+L33</f>
        <v>209.99999999999997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83" t="s">
        <v>749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7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K20:L20"/>
    <mergeCell ref="B1:L8"/>
    <mergeCell ref="J32:K32"/>
    <mergeCell ref="J34:K34"/>
    <mergeCell ref="D26:F26"/>
    <mergeCell ref="D27:F27"/>
    <mergeCell ref="D28:F28"/>
    <mergeCell ref="J30:K30"/>
    <mergeCell ref="D23:F23"/>
    <mergeCell ref="I23:J23"/>
    <mergeCell ref="I24:J24"/>
    <mergeCell ref="D25:F25"/>
    <mergeCell ref="I25:J25"/>
    <mergeCell ref="D20:F20"/>
    <mergeCell ref="I20:J20"/>
    <mergeCell ref="D21:F21"/>
  </mergeCells>
  <pageMargins left="0.70866141732283505" right="0.31496062992126" top="0.55118110236220497" bottom="0" header="0.31496062992126" footer="0.31496062992126"/>
  <pageSetup paperSize="9" scale="75" fitToHeight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09C3F-527E-44BE-95A7-C9A43F0C6B57}">
  <sheetPr codeName="Sheet4">
    <tabColor rgb="FFFFC000"/>
    <pageSetUpPr fitToPage="1"/>
  </sheetPr>
  <dimension ref="B1:V45"/>
  <sheetViews>
    <sheetView topLeftCell="A20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8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8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8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8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8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8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8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461</v>
      </c>
      <c r="J10" s="17" t="s">
        <v>26</v>
      </c>
      <c r="K10" s="442">
        <v>202308388</v>
      </c>
      <c r="L10" s="443"/>
    </row>
    <row r="11" spans="2:18" ht="20.149999999999999" customHeight="1" x14ac:dyDescent="0.45">
      <c r="B11" s="153"/>
      <c r="C11" s="154"/>
      <c r="D11" s="155"/>
      <c r="E11" s="61"/>
      <c r="F11" s="444" t="str">
        <f>VLOOKUP(H10,'Delivery Location'!A$4:N$423,2,0)</f>
        <v>CASH SALES                                                         Blk 159 Mei Chin Road #02-27   Singapore 140159</v>
      </c>
      <c r="G11" s="445"/>
      <c r="H11" s="446"/>
      <c r="J11" s="18" t="s">
        <v>9</v>
      </c>
      <c r="K11" s="453">
        <v>45154</v>
      </c>
      <c r="L11" s="454"/>
    </row>
    <row r="12" spans="2:18" ht="20.149999999999999" customHeight="1" x14ac:dyDescent="0.45">
      <c r="B12" s="156"/>
      <c r="C12" s="61"/>
      <c r="D12" s="157"/>
      <c r="E12" s="61"/>
      <c r="F12" s="447"/>
      <c r="G12" s="448"/>
      <c r="H12" s="449"/>
      <c r="J12" s="18" t="s">
        <v>81</v>
      </c>
      <c r="K12" s="438" t="s">
        <v>312</v>
      </c>
      <c r="L12" s="439"/>
      <c r="N12" s="437" t="s">
        <v>1220</v>
      </c>
      <c r="O12" s="437"/>
      <c r="P12" s="437"/>
      <c r="Q12" s="437"/>
      <c r="R12" s="437"/>
    </row>
    <row r="13" spans="2:18" ht="20.149999999999999" customHeight="1" x14ac:dyDescent="0.45">
      <c r="B13" s="156"/>
      <c r="C13" s="61"/>
      <c r="D13" s="157"/>
      <c r="E13" s="61"/>
      <c r="F13" s="447"/>
      <c r="G13" s="448"/>
      <c r="H13" s="449"/>
      <c r="J13" s="18" t="s">
        <v>10</v>
      </c>
      <c r="K13" s="438" t="s">
        <v>1432</v>
      </c>
      <c r="L13" s="439"/>
      <c r="N13" s="305" t="s">
        <v>1458</v>
      </c>
      <c r="O13" s="260"/>
      <c r="P13" s="260"/>
      <c r="Q13" s="260"/>
    </row>
    <row r="14" spans="2:18" ht="20.149999999999999" customHeight="1" x14ac:dyDescent="0.45">
      <c r="B14" s="156"/>
      <c r="C14" s="61"/>
      <c r="D14" s="157"/>
      <c r="E14" s="61"/>
      <c r="F14" s="447"/>
      <c r="G14" s="448"/>
      <c r="H14" s="449"/>
      <c r="J14" s="18" t="s">
        <v>27</v>
      </c>
      <c r="K14" s="438" t="s">
        <v>14</v>
      </c>
      <c r="L14" s="439"/>
    </row>
    <row r="15" spans="2:18" ht="18" customHeight="1" thickBot="1" x14ac:dyDescent="0.5">
      <c r="B15" s="63"/>
      <c r="C15" s="64"/>
      <c r="D15" s="158"/>
      <c r="E15" s="14"/>
      <c r="F15" s="450"/>
      <c r="G15" s="451"/>
      <c r="H15" s="452"/>
      <c r="J15" s="19" t="s">
        <v>11</v>
      </c>
      <c r="K15" s="167" t="s">
        <v>620</v>
      </c>
      <c r="L15" s="138"/>
      <c r="N15" s="60">
        <f>24.5/25*2</f>
        <v>1.96</v>
      </c>
      <c r="O15" s="60">
        <f>(N15+0.1)*1.3</f>
        <v>2.6780000000000004</v>
      </c>
    </row>
    <row r="16" spans="2:18" ht="19" thickBot="1" x14ac:dyDescent="0.5">
      <c r="J16" s="45"/>
      <c r="L16" s="60" t="s">
        <v>334</v>
      </c>
    </row>
    <row r="17" spans="2:22" ht="30" customHeight="1" thickBot="1" x14ac:dyDescent="0.5">
      <c r="B17" s="41" t="s">
        <v>2</v>
      </c>
      <c r="C17" s="42" t="s">
        <v>3</v>
      </c>
      <c r="D17" s="159" t="s">
        <v>4</v>
      </c>
      <c r="E17" s="160"/>
      <c r="F17" s="161"/>
      <c r="G17" s="58" t="s">
        <v>335</v>
      </c>
      <c r="H17" s="122" t="s">
        <v>28</v>
      </c>
      <c r="I17" s="169" t="s">
        <v>57</v>
      </c>
      <c r="J17" s="169"/>
      <c r="K17" s="43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20.149999999999999" customHeight="1" x14ac:dyDescent="0.45">
      <c r="B18" s="21"/>
      <c r="C18" s="338" t="s">
        <v>1088</v>
      </c>
      <c r="D18" s="430" t="str">
        <f>VLOOKUP(C18,'Sales Master'!B$3:D$643,2,0)</f>
        <v>Coconut Sugar 椰糖</v>
      </c>
      <c r="E18" s="430"/>
      <c r="F18" s="430"/>
      <c r="G18" s="45">
        <v>1</v>
      </c>
      <c r="H18" s="241" t="str">
        <f>VLOOKUP(C18,'Sales Master'!B$3:F$936,5,0)</f>
        <v>10 kgs/Ctn</v>
      </c>
      <c r="I18" s="432" t="str">
        <f>VLOOKUP(C18,'Sales Master'!B$3:E$936,4,0)</f>
        <v>Sugari</v>
      </c>
      <c r="J18" s="432"/>
      <c r="K18" s="22">
        <f>VLOOKUP(C18,'Sales Master'!B$3:BT$527,71,0)</f>
        <v>39</v>
      </c>
      <c r="L18" s="71">
        <f>K18*G18</f>
        <v>39</v>
      </c>
      <c r="N18" s="247">
        <f>VLOOKUP(C18,'Sales Master'!$B$3:$FA$3051,156,0)</f>
        <v>30</v>
      </c>
      <c r="O18" s="247">
        <f>K18-N18</f>
        <v>9</v>
      </c>
      <c r="P18" s="247">
        <f>O18*G18</f>
        <v>9</v>
      </c>
      <c r="R18" s="60">
        <f>13.45*1.08</f>
        <v>14.526</v>
      </c>
      <c r="S18" s="60">
        <f>R18*1.2</f>
        <v>17.4312</v>
      </c>
    </row>
    <row r="19" spans="2:22" ht="20.149999999999999" customHeight="1" x14ac:dyDescent="0.45">
      <c r="B19" s="70"/>
      <c r="C19" s="338"/>
      <c r="D19" s="430"/>
      <c r="E19" s="430"/>
      <c r="F19" s="430"/>
      <c r="G19" s="45"/>
      <c r="H19" s="241"/>
      <c r="I19" s="432"/>
      <c r="J19" s="432"/>
      <c r="K19" s="22"/>
      <c r="L19" s="71"/>
      <c r="N19" s="247"/>
      <c r="O19" s="247"/>
      <c r="P19" s="247"/>
    </row>
    <row r="20" spans="2:22" ht="20" customHeight="1" x14ac:dyDescent="0.45">
      <c r="B20" s="28"/>
      <c r="C20" s="338"/>
      <c r="D20" s="430"/>
      <c r="E20" s="430"/>
      <c r="F20" s="430"/>
      <c r="G20" s="45"/>
      <c r="H20" s="241"/>
      <c r="I20" s="432"/>
      <c r="J20" s="432"/>
      <c r="K20" s="22"/>
      <c r="L20" s="71"/>
      <c r="N20" s="247"/>
      <c r="O20" s="247"/>
      <c r="P20" s="247"/>
    </row>
    <row r="21" spans="2:22" ht="20" customHeight="1" x14ac:dyDescent="0.45">
      <c r="B21" s="28"/>
      <c r="C21" s="338"/>
      <c r="D21" s="430"/>
      <c r="E21" s="430"/>
      <c r="F21" s="430"/>
      <c r="G21" s="45"/>
      <c r="H21" s="241"/>
      <c r="I21" s="432"/>
      <c r="J21" s="432"/>
      <c r="K21" s="22"/>
      <c r="L21" s="71"/>
      <c r="N21" s="247"/>
      <c r="O21" s="247"/>
      <c r="P21" s="247"/>
    </row>
    <row r="22" spans="2:22" ht="20.149999999999999" customHeight="1" x14ac:dyDescent="0.45">
      <c r="B22" s="21"/>
      <c r="C22" s="338"/>
      <c r="D22" s="430"/>
      <c r="E22" s="430"/>
      <c r="F22" s="430"/>
      <c r="G22" s="45"/>
      <c r="H22" s="241"/>
      <c r="I22" s="432"/>
      <c r="J22" s="432"/>
      <c r="K22" s="22"/>
      <c r="L22" s="71"/>
      <c r="N22" s="247"/>
      <c r="O22" s="247"/>
      <c r="P22" s="247"/>
    </row>
    <row r="23" spans="2:22" ht="20.149999999999999" customHeight="1" x14ac:dyDescent="0.45">
      <c r="B23" s="21"/>
      <c r="C23" s="338"/>
      <c r="D23" s="430"/>
      <c r="E23" s="430"/>
      <c r="F23" s="430"/>
      <c r="G23" s="45"/>
      <c r="H23" s="241"/>
      <c r="I23" s="432"/>
      <c r="J23" s="432"/>
      <c r="K23" s="22"/>
      <c r="L23" s="71"/>
      <c r="N23" s="247"/>
      <c r="O23" s="247"/>
      <c r="P23" s="247"/>
    </row>
    <row r="24" spans="2:22" ht="20.149999999999999" customHeight="1" x14ac:dyDescent="0.45">
      <c r="B24" s="21"/>
      <c r="C24" s="338"/>
      <c r="D24" s="69"/>
      <c r="E24" s="69"/>
      <c r="F24" s="69"/>
      <c r="G24" s="45"/>
      <c r="H24" s="241"/>
      <c r="I24" s="322"/>
      <c r="J24" s="322"/>
      <c r="K24" s="22"/>
      <c r="L24" s="71"/>
      <c r="N24" s="247"/>
      <c r="O24" s="247"/>
      <c r="P24" s="247"/>
    </row>
    <row r="25" spans="2:22" ht="20.149999999999999" customHeight="1" x14ac:dyDescent="0.45">
      <c r="B25" s="70"/>
      <c r="G25" s="45"/>
      <c r="H25" s="241"/>
      <c r="I25" s="432"/>
      <c r="J25" s="432"/>
      <c r="K25" s="22"/>
      <c r="L25" s="71"/>
      <c r="N25" s="247"/>
      <c r="O25" s="247"/>
      <c r="P25" s="247"/>
      <c r="U25" s="94"/>
      <c r="V25" s="94"/>
    </row>
    <row r="26" spans="2:22" ht="20.149999999999999" customHeight="1" x14ac:dyDescent="0.45">
      <c r="B26" s="21"/>
      <c r="C26" s="12"/>
      <c r="D26" s="12"/>
      <c r="E26" s="12"/>
      <c r="F26" s="12"/>
      <c r="G26" s="12"/>
      <c r="H26" s="241"/>
      <c r="I26" s="432"/>
      <c r="J26" s="432"/>
      <c r="K26" s="96"/>
      <c r="L26" s="71"/>
      <c r="N26" s="247"/>
      <c r="O26" s="247"/>
      <c r="P26" s="247"/>
    </row>
    <row r="27" spans="2:22" ht="20.149999999999999" customHeight="1" x14ac:dyDescent="0.45">
      <c r="B27" s="21"/>
      <c r="C27" s="338"/>
      <c r="G27" s="45"/>
      <c r="H27" s="241"/>
      <c r="I27" s="432"/>
      <c r="J27" s="432"/>
      <c r="K27" s="96"/>
      <c r="L27" s="71"/>
    </row>
    <row r="28" spans="2:22" ht="20.149999999999999" customHeight="1" x14ac:dyDescent="0.45">
      <c r="B28" s="21"/>
      <c r="C28" s="338"/>
      <c r="D28" s="430"/>
      <c r="E28" s="430"/>
      <c r="F28" s="430"/>
      <c r="G28" s="45"/>
      <c r="H28" s="241"/>
      <c r="I28" s="432"/>
      <c r="J28" s="432"/>
      <c r="K28" s="96"/>
      <c r="L28" s="71"/>
    </row>
    <row r="29" spans="2:22" ht="20.149999999999999" customHeight="1" x14ac:dyDescent="0.45">
      <c r="B29" s="21"/>
      <c r="C29" s="45"/>
      <c r="D29" s="69"/>
      <c r="E29" s="69"/>
      <c r="F29" s="69"/>
      <c r="G29" s="45"/>
      <c r="H29" s="65"/>
      <c r="I29" s="65"/>
      <c r="J29" s="65"/>
      <c r="K29" s="22"/>
      <c r="L29" s="71"/>
    </row>
    <row r="30" spans="2:22" ht="20.149999999999999" customHeight="1" thickBot="1" x14ac:dyDescent="0.5">
      <c r="B30" s="24"/>
      <c r="C30" s="25"/>
      <c r="D30" s="62"/>
      <c r="E30" s="62"/>
      <c r="F30" s="62"/>
      <c r="G30" s="25"/>
      <c r="H30" s="66"/>
      <c r="I30" s="66"/>
      <c r="J30" s="66"/>
      <c r="K30" s="26"/>
      <c r="L30" s="27"/>
    </row>
    <row r="31" spans="2:22" ht="20.149999999999999" customHeight="1" thickBot="1" x14ac:dyDescent="0.5">
      <c r="B31" s="28"/>
      <c r="L31" s="29"/>
    </row>
    <row r="32" spans="2:22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162" t="s">
        <v>13</v>
      </c>
      <c r="K32" s="163"/>
      <c r="L32" s="30">
        <f>SUM(L15:L31)</f>
        <v>39</v>
      </c>
      <c r="M32" s="95">
        <f>SUM(P18:P30)-L32*0.02</f>
        <v>8.2200000000000006</v>
      </c>
      <c r="N32" s="248">
        <f>M32/L32</f>
        <v>0.21076923076923079</v>
      </c>
    </row>
    <row r="33" spans="2:14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0" t="s">
        <v>553</v>
      </c>
      <c r="K33" s="113">
        <v>6.54E-2</v>
      </c>
      <c r="L33" s="32">
        <f>L35</f>
        <v>2.8888888888888888</v>
      </c>
    </row>
    <row r="34" spans="2:14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164" t="s">
        <v>555</v>
      </c>
      <c r="K34" s="165"/>
      <c r="L34" s="114">
        <f>L32/108*100</f>
        <v>36.111111111111107</v>
      </c>
    </row>
    <row r="35" spans="2:14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1" t="s">
        <v>554</v>
      </c>
      <c r="K35" s="112">
        <v>0.08</v>
      </c>
      <c r="L35" s="44">
        <f>L34*K35</f>
        <v>2.8888888888888888</v>
      </c>
      <c r="N35" s="60">
        <v>38.299999999999997</v>
      </c>
    </row>
    <row r="36" spans="2:14" ht="20.149999999999999" customHeight="1" thickBot="1" x14ac:dyDescent="0.5">
      <c r="B36" s="11" t="s">
        <v>748</v>
      </c>
      <c r="C36" s="10"/>
      <c r="D36" s="10"/>
      <c r="E36" s="10"/>
      <c r="F36" s="10"/>
      <c r="G36" s="10"/>
      <c r="H36" s="10"/>
      <c r="I36" s="10"/>
      <c r="J36" s="37" t="s">
        <v>21</v>
      </c>
      <c r="K36" s="38"/>
      <c r="L36" s="33">
        <f>L34+L35</f>
        <v>38.999999999999993</v>
      </c>
      <c r="N36" s="60">
        <v>-2.5099999999999998</v>
      </c>
    </row>
    <row r="37" spans="2:14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K37" s="243"/>
      <c r="L37" s="29"/>
      <c r="N37" s="60">
        <f>SUM(N35:N36)</f>
        <v>35.79</v>
      </c>
    </row>
    <row r="38" spans="2:14" ht="20.149999999999999" customHeight="1" x14ac:dyDescent="0.45">
      <c r="B38" s="183" t="s">
        <v>749</v>
      </c>
      <c r="L38" s="29"/>
    </row>
    <row r="39" spans="2:14" ht="20.149999999999999" customHeight="1" x14ac:dyDescent="0.45">
      <c r="B39" s="28"/>
      <c r="L39" s="263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34"/>
      <c r="C42" s="35"/>
      <c r="D42" s="35"/>
      <c r="J42" s="35"/>
      <c r="K42" s="35"/>
      <c r="L42" s="36"/>
    </row>
    <row r="43" spans="2:14" ht="20.149999999999999" customHeight="1" x14ac:dyDescent="0.45">
      <c r="B43" s="28" t="s">
        <v>24</v>
      </c>
      <c r="J43" s="60" t="s">
        <v>25</v>
      </c>
      <c r="L43" s="29"/>
    </row>
    <row r="44" spans="2:14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  <row r="45" spans="2:14" ht="20.5" x14ac:dyDescent="0.45">
      <c r="F45" s="317"/>
    </row>
  </sheetData>
  <mergeCells count="25">
    <mergeCell ref="I25:J25"/>
    <mergeCell ref="I26:J26"/>
    <mergeCell ref="I27:J27"/>
    <mergeCell ref="D28:F28"/>
    <mergeCell ref="I28:J28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N12:R12"/>
    <mergeCell ref="K13:L13"/>
    <mergeCell ref="K14:L14"/>
    <mergeCell ref="B1:L8"/>
    <mergeCell ref="K10:L10"/>
    <mergeCell ref="F11:H15"/>
    <mergeCell ref="K11:L11"/>
    <mergeCell ref="K12:L12"/>
  </mergeCells>
  <conditionalFormatting sqref="N13">
    <cfRule type="duplicateValues" dxfId="149" priority="1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17B7D-9E17-458D-B827-3509316CC315}">
  <sheetPr codeName="Sheet50">
    <tabColor rgb="FF7030A0"/>
    <pageSetUpPr fitToPage="1"/>
  </sheetPr>
  <dimension ref="B1:P40"/>
  <sheetViews>
    <sheetView topLeftCell="A10" zoomScaleNormal="100" workbookViewId="0">
      <selection activeCell="K18" sqref="K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2.54296875" style="60" customWidth="1"/>
    <col min="9" max="9" width="1.81640625" style="60" customWidth="1"/>
    <col min="10" max="10" width="15.54296875" style="60" customWidth="1"/>
    <col min="11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438</v>
      </c>
      <c r="J10" s="17" t="s">
        <v>26</v>
      </c>
      <c r="K10" s="455">
        <v>202211337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Changi Smoothie. Sugar Cane             Changi Village Hawker Centre, 2 Changi Village Road   #01-37 Singapore 500002</v>
      </c>
      <c r="G11" s="445"/>
      <c r="H11" s="446"/>
      <c r="J11" s="18" t="s">
        <v>9</v>
      </c>
      <c r="K11" s="460">
        <v>44884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816</v>
      </c>
      <c r="D18" s="430" t="str">
        <f>VLOOKUP(C18,'Sales Master'!B$3:D$316,2,0)</f>
        <v xml:space="preserve">Fresh Soursop 红毛榴莲 </v>
      </c>
      <c r="E18" s="430"/>
      <c r="F18" s="430"/>
      <c r="G18" s="45">
        <v>1</v>
      </c>
      <c r="H18" s="65" t="str">
        <f>VLOOKUP(C18,'Sales Master'!B$3:F$936,5,0)</f>
        <v>5 KGS/ Pkt包</v>
      </c>
      <c r="I18" s="431" t="str">
        <f>VLOOKUP(C18,'Sales Master'!B$3:E$936,4,0)</f>
        <v>DO!</v>
      </c>
      <c r="J18" s="431"/>
      <c r="K18" s="22">
        <f>VLOOKUP(C18,'Sales Master'!B$3:BB$527,53,0)</f>
        <v>33</v>
      </c>
      <c r="L18" s="71">
        <f>K18*G18</f>
        <v>33</v>
      </c>
      <c r="N18" s="247">
        <f>VLOOKUP(C18,'Sales Master'!$B$3:$FA$3051,156,0)</f>
        <v>23.67</v>
      </c>
      <c r="O18" s="247">
        <f>K18-N18</f>
        <v>9.3299999999999983</v>
      </c>
      <c r="P18" s="247">
        <f>O18*G18</f>
        <v>9.3299999999999983</v>
      </c>
    </row>
    <row r="19" spans="2:16" ht="20.149999999999999" customHeight="1" x14ac:dyDescent="0.45">
      <c r="B19" s="21"/>
      <c r="C19" s="45" t="s">
        <v>819</v>
      </c>
      <c r="D19" s="430" t="str">
        <f>VLOOKUP(C19,'Sales Master'!B$3:D$316,2,0)</f>
        <v>Fresh Soursop Seedless 红毛榴莲(无)</v>
      </c>
      <c r="E19" s="430"/>
      <c r="F19" s="430"/>
      <c r="G19" s="45">
        <v>1</v>
      </c>
      <c r="H19" s="65" t="str">
        <f>VLOOKUP(C19,'Sales Master'!B$3:F$936,5,0)</f>
        <v>5 KGS/ Tub桶</v>
      </c>
      <c r="I19" s="431" t="str">
        <f>VLOOKUP(C19,'Sales Master'!B$3:E$936,4,0)</f>
        <v>DO!</v>
      </c>
      <c r="J19" s="431"/>
      <c r="K19" s="22">
        <f>VLOOKUP(C19,'Sales Master'!B$3:BB$527,53,0)</f>
        <v>38</v>
      </c>
      <c r="L19" s="71">
        <f>K19*G19</f>
        <v>38</v>
      </c>
      <c r="N19" s="247">
        <f>VLOOKUP(C19,'Sales Master'!$B$3:$FA$3051,156,0)</f>
        <v>25.4</v>
      </c>
      <c r="O19" s="247">
        <f>K19-N19</f>
        <v>12.600000000000001</v>
      </c>
      <c r="P19" s="247">
        <f>O19*G19</f>
        <v>12.600000000000001</v>
      </c>
    </row>
    <row r="20" spans="2:16" ht="20.149999999999999" customHeight="1" x14ac:dyDescent="0.45">
      <c r="B20" s="21"/>
      <c r="C20" s="45" t="s">
        <v>822</v>
      </c>
      <c r="D20" s="430" t="str">
        <f>VLOOKUP(C20,'Sales Master'!B$3:D$316,2,0)</f>
        <v>Strawberry Puree 草莓</v>
      </c>
      <c r="E20" s="430"/>
      <c r="F20" s="430"/>
      <c r="G20" s="45">
        <v>6</v>
      </c>
      <c r="H20" s="65" t="str">
        <f>VLOOKUP(C20,'Sales Master'!B$3:F$936,5,0)</f>
        <v>Box/盒</v>
      </c>
      <c r="I20" s="431" t="str">
        <f>VLOOKUP(C20,'Sales Master'!B$3:E$936,4,0)</f>
        <v>DO!</v>
      </c>
      <c r="J20" s="431"/>
      <c r="K20" s="22">
        <f>VLOOKUP(C20,'Sales Master'!B$3:BB$527,53,0)</f>
        <v>8</v>
      </c>
      <c r="L20" s="71">
        <f>K20*G20</f>
        <v>48</v>
      </c>
      <c r="N20" s="247">
        <f>VLOOKUP(C20,'Sales Master'!$B$3:$FA$3051,156,0)</f>
        <v>4.68</v>
      </c>
      <c r="O20" s="247">
        <f>K20-N20</f>
        <v>3.3200000000000003</v>
      </c>
      <c r="P20" s="247">
        <f>O20*G20</f>
        <v>19.920000000000002</v>
      </c>
    </row>
    <row r="21" spans="2:16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6" ht="20.149999999999999" customHeight="1" x14ac:dyDescent="0.45">
      <c r="B22" s="70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6" ht="20.149999999999999" customHeight="1" x14ac:dyDescent="0.45">
      <c r="B23" s="70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6" ht="20.149999999999999" customHeight="1" x14ac:dyDescent="0.45">
      <c r="B24" s="70"/>
      <c r="C24" s="12"/>
      <c r="D24" s="12"/>
      <c r="E24" s="12"/>
      <c r="F24" s="12"/>
      <c r="G24" s="12"/>
      <c r="H24" s="65"/>
      <c r="I24" s="431"/>
      <c r="J24" s="431"/>
      <c r="K24" s="96"/>
      <c r="L24" s="71"/>
    </row>
    <row r="25" spans="2:16" ht="20.149999999999999" customHeight="1" x14ac:dyDescent="0.45">
      <c r="B25" s="21"/>
      <c r="C25" s="45"/>
      <c r="D25" s="430"/>
      <c r="E25" s="430"/>
      <c r="F25" s="430"/>
      <c r="G25" s="45"/>
      <c r="H25" s="65"/>
      <c r="I25" s="431"/>
      <c r="J25" s="431"/>
      <c r="K25" s="96"/>
      <c r="L25" s="71"/>
    </row>
    <row r="26" spans="2:16" ht="20.149999999999999" customHeight="1" thickBot="1" x14ac:dyDescent="0.5">
      <c r="B26" s="24"/>
      <c r="C26" s="25"/>
      <c r="D26" s="473"/>
      <c r="E26" s="473"/>
      <c r="F26" s="473"/>
      <c r="G26" s="25"/>
      <c r="H26" s="66"/>
      <c r="I26" s="66"/>
      <c r="J26" s="66"/>
      <c r="K26" s="26"/>
      <c r="L26" s="27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16</v>
      </c>
      <c r="C28" s="10"/>
      <c r="D28" s="10"/>
      <c r="E28" s="10"/>
      <c r="F28" s="10"/>
      <c r="G28" s="10"/>
      <c r="H28" s="10"/>
      <c r="I28" s="10"/>
      <c r="J28" s="474" t="s">
        <v>13</v>
      </c>
      <c r="K28" s="475"/>
      <c r="L28" s="30">
        <f>SUM(L16:L27)</f>
        <v>119</v>
      </c>
      <c r="M28" s="95">
        <f>SUM(P18:P26)</f>
        <v>41.85</v>
      </c>
      <c r="N28" s="248">
        <f>M28/L28</f>
        <v>0.35168067226890759</v>
      </c>
    </row>
    <row r="29" spans="2:16" ht="20.149999999999999" customHeight="1" x14ac:dyDescent="0.45">
      <c r="B29" s="11" t="s">
        <v>17</v>
      </c>
      <c r="C29" s="10"/>
      <c r="D29" s="10"/>
      <c r="E29" s="10"/>
      <c r="F29" s="10"/>
      <c r="G29" s="10"/>
      <c r="H29" s="10"/>
      <c r="I29" s="10"/>
      <c r="J29" s="110" t="s">
        <v>553</v>
      </c>
      <c r="K29" s="113">
        <v>6.54E-2</v>
      </c>
      <c r="L29" s="32">
        <f>L31</f>
        <v>8.8148148148148149</v>
      </c>
    </row>
    <row r="30" spans="2:16" ht="20.149999999999999" customHeight="1" x14ac:dyDescent="0.45">
      <c r="B30" s="11" t="s">
        <v>18</v>
      </c>
      <c r="C30" s="10"/>
      <c r="D30" s="10"/>
      <c r="E30" s="10"/>
      <c r="F30" s="10"/>
      <c r="G30" s="10"/>
      <c r="H30" s="10"/>
      <c r="I30" s="10"/>
      <c r="J30" s="476" t="s">
        <v>555</v>
      </c>
      <c r="K30" s="477"/>
      <c r="L30" s="114">
        <f>L28/108*100</f>
        <v>110.18518518518519</v>
      </c>
    </row>
    <row r="31" spans="2:16" ht="20.149999999999999" customHeight="1" x14ac:dyDescent="0.45">
      <c r="B31" s="11" t="s">
        <v>22</v>
      </c>
      <c r="C31" s="10"/>
      <c r="D31" s="10"/>
      <c r="E31" s="10"/>
      <c r="F31" s="10"/>
      <c r="G31" s="10"/>
      <c r="H31" s="10"/>
      <c r="I31" s="10"/>
      <c r="J31" s="111" t="s">
        <v>554</v>
      </c>
      <c r="K31" s="112">
        <v>0.08</v>
      </c>
      <c r="L31" s="44">
        <f>L30*K31</f>
        <v>8.8148148148148149</v>
      </c>
    </row>
    <row r="32" spans="2:16" ht="20.149999999999999" customHeight="1" thickBot="1" x14ac:dyDescent="0.5">
      <c r="B32" s="11" t="s">
        <v>748</v>
      </c>
      <c r="C32" s="10"/>
      <c r="D32" s="10"/>
      <c r="E32" s="10"/>
      <c r="F32" s="10"/>
      <c r="G32" s="10"/>
      <c r="H32" s="10"/>
      <c r="I32" s="10"/>
      <c r="J32" s="478" t="s">
        <v>21</v>
      </c>
      <c r="K32" s="479"/>
      <c r="L32" s="33">
        <f>L30+L31</f>
        <v>119</v>
      </c>
    </row>
    <row r="33" spans="2:12" ht="20.149999999999999" customHeight="1" x14ac:dyDescent="0.45">
      <c r="B33" s="11" t="s">
        <v>23</v>
      </c>
      <c r="C33" s="10"/>
      <c r="D33" s="10"/>
      <c r="E33" s="10"/>
      <c r="F33" s="10"/>
      <c r="G33" s="10"/>
      <c r="H33" s="10"/>
      <c r="I33" s="10"/>
      <c r="L33" s="29"/>
    </row>
    <row r="34" spans="2:12" ht="20.149999999999999" customHeight="1" x14ac:dyDescent="0.45">
      <c r="B34" s="183" t="s">
        <v>749</v>
      </c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24</v>
      </c>
      <c r="J39" s="60" t="s">
        <v>25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4">
    <mergeCell ref="I25:J25"/>
    <mergeCell ref="J32:K32"/>
    <mergeCell ref="D25:F25"/>
    <mergeCell ref="D26:F26"/>
    <mergeCell ref="J28:K28"/>
    <mergeCell ref="J30:K30"/>
    <mergeCell ref="D21:F21"/>
    <mergeCell ref="D23:F23"/>
    <mergeCell ref="I24:J24"/>
    <mergeCell ref="B1:L8"/>
    <mergeCell ref="I21:J21"/>
    <mergeCell ref="D22:F22"/>
    <mergeCell ref="I22:J22"/>
    <mergeCell ref="I23:J23"/>
    <mergeCell ref="K10:L10"/>
    <mergeCell ref="B11:D11"/>
    <mergeCell ref="F11:H15"/>
    <mergeCell ref="K11:L11"/>
    <mergeCell ref="B12:D12"/>
    <mergeCell ref="K12:L12"/>
    <mergeCell ref="B13:D13"/>
    <mergeCell ref="K13:L13"/>
    <mergeCell ref="K15:L15"/>
    <mergeCell ref="D17:F17"/>
    <mergeCell ref="B14:D14"/>
    <mergeCell ref="K14:L14"/>
    <mergeCell ref="B15:D15"/>
    <mergeCell ref="D20:F20"/>
    <mergeCell ref="I20:J20"/>
    <mergeCell ref="I17:J17"/>
    <mergeCell ref="D18:F18"/>
    <mergeCell ref="I18:J18"/>
    <mergeCell ref="D19:F19"/>
    <mergeCell ref="I19:J19"/>
  </mergeCells>
  <pageMargins left="0.70866141732283472" right="0.31496062992125984" top="0.55118110236220474" bottom="0" header="0.31496062992125984" footer="0.31496062992125984"/>
  <pageSetup paperSize="9" scale="77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12A2A-FBA9-4F2C-809A-F2C4DBCAA144}">
  <sheetPr codeName="Sheet26">
    <tabColor rgb="FFFFC000"/>
    <pageSetUpPr fitToPage="1"/>
  </sheetPr>
  <dimension ref="B1:S42"/>
  <sheetViews>
    <sheetView topLeftCell="B9" zoomScaleNormal="100" workbookViewId="0">
      <selection activeCell="K28" sqref="K28"/>
    </sheetView>
  </sheetViews>
  <sheetFormatPr defaultColWidth="12.54296875" defaultRowHeight="18.5" x14ac:dyDescent="0.45"/>
  <cols>
    <col min="1" max="2" width="12.54296875" style="60"/>
    <col min="3" max="3" width="11.7265625" style="60" customWidth="1"/>
    <col min="4" max="4" width="14.54296875" style="60" customWidth="1"/>
    <col min="5" max="5" width="3.54296875" style="60" customWidth="1"/>
    <col min="6" max="6" width="18.90625" style="60" customWidth="1"/>
    <col min="7" max="7" width="8.6328125" style="60" customWidth="1"/>
    <col min="8" max="8" width="13.26953125" style="60" customWidth="1"/>
    <col min="9" max="9" width="1.81640625" style="60" customWidth="1"/>
    <col min="10" max="10" width="14.36328125" style="60" customWidth="1"/>
    <col min="11" max="11" width="10.54296875" style="60" customWidth="1"/>
    <col min="12" max="16384" width="12.54296875" style="60"/>
  </cols>
  <sheetData>
    <row r="1" spans="2:14" x14ac:dyDescent="0.45">
      <c r="B1" s="440">
        <v>202301221</v>
      </c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423</v>
      </c>
      <c r="J10" s="17" t="s">
        <v>26</v>
      </c>
      <c r="K10" s="455">
        <v>202309670</v>
      </c>
      <c r="L10" s="456"/>
    </row>
    <row r="11" spans="2:14" ht="20.149999999999999" customHeight="1" x14ac:dyDescent="0.45">
      <c r="B11" s="480" t="s">
        <v>786</v>
      </c>
      <c r="C11" s="481"/>
      <c r="D11" s="482"/>
      <c r="E11" s="61"/>
      <c r="F11" s="444" t="str">
        <f>VLOOKUP(H10,'Delivery Location'!A$4:N$423,2,0)</f>
        <v>Fruitopia                                                    Adam Road Food Centre                         2 Adam Road, #01-29              Singapore 289876</v>
      </c>
      <c r="G11" s="445"/>
      <c r="H11" s="446"/>
      <c r="J11" s="18" t="s">
        <v>9</v>
      </c>
      <c r="K11" s="460">
        <v>45197</v>
      </c>
      <c r="L11" s="461"/>
    </row>
    <row r="12" spans="2:14" ht="20.149999999999999" customHeight="1" x14ac:dyDescent="0.45">
      <c r="B12" s="462" t="s">
        <v>787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N12" s="60" t="s">
        <v>1065</v>
      </c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805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234" t="s">
        <v>620</v>
      </c>
      <c r="L15" s="138"/>
    </row>
    <row r="16" spans="2:14" ht="19" thickBot="1" x14ac:dyDescent="0.5">
      <c r="J16" s="45"/>
    </row>
    <row r="17" spans="2:19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9" ht="20.149999999999999" customHeight="1" x14ac:dyDescent="0.45">
      <c r="B18" s="21"/>
      <c r="C18" s="338" t="s">
        <v>819</v>
      </c>
      <c r="D18" s="535" t="str">
        <f>VLOOKUP(C18,'Sales Master'!B$3:D$642,2,0)</f>
        <v>Fresh Soursop Seedless 红毛榴莲(无)</v>
      </c>
      <c r="E18" s="535"/>
      <c r="F18" s="535"/>
      <c r="G18" s="45">
        <v>1</v>
      </c>
      <c r="H18" s="241" t="str">
        <f>VLOOKUP(C18,'Sales Master'!B$3:F$936,5,0)</f>
        <v>5 KGS/ Tub桶</v>
      </c>
      <c r="I18" s="432" t="str">
        <f>VLOOKUP(C18,'Sales Master'!B$3:E$936,4,0)</f>
        <v>DO!</v>
      </c>
      <c r="J18" s="432"/>
      <c r="K18" s="203">
        <f>VLOOKUP(C18,'Sales Master'!$B$3:$DI$3109,112,0)</f>
        <v>38</v>
      </c>
      <c r="L18" s="131">
        <f>K18*G18</f>
        <v>38</v>
      </c>
      <c r="N18" s="247">
        <f>VLOOKUP(C18,'Sales Master'!$B$3:$FA$3051,156,0)</f>
        <v>25.4</v>
      </c>
      <c r="O18" s="247">
        <f>K18-N18</f>
        <v>12.600000000000001</v>
      </c>
      <c r="P18" s="247">
        <f>O18*G18</f>
        <v>12.600000000000001</v>
      </c>
      <c r="R18" s="95"/>
      <c r="S18" s="60">
        <v>24</v>
      </c>
    </row>
    <row r="19" spans="2:19" ht="20.149999999999999" customHeight="1" x14ac:dyDescent="0.45">
      <c r="B19" s="70"/>
      <c r="C19" s="338" t="s">
        <v>834</v>
      </c>
      <c r="D19" s="536" t="str">
        <f>VLOOKUP(C19,'Sales Master'!B$3:D$642,2,0)</f>
        <v>Coconut Suger Syrup (Pandan) 椰糖浆(班兰)</v>
      </c>
      <c r="E19" s="536"/>
      <c r="F19" s="536"/>
      <c r="G19" s="45">
        <v>2</v>
      </c>
      <c r="H19" s="241" t="str">
        <f>VLOOKUP(C19,'Sales Master'!B$3:F$936,5,0)</f>
        <v>4L/ Btl支</v>
      </c>
      <c r="I19" s="432" t="str">
        <f>VLOOKUP(C19,'Sales Master'!B$3:E$936,4,0)</f>
        <v>DO!</v>
      </c>
      <c r="J19" s="432"/>
      <c r="K19" s="203">
        <f>VLOOKUP(C19,'Sales Master'!$B$3:$DI$3109,112,0)</f>
        <v>24</v>
      </c>
      <c r="L19" s="131">
        <f t="shared" ref="L19" si="0">K19*G19</f>
        <v>48</v>
      </c>
      <c r="N19" s="247">
        <f>VLOOKUP(C19,'Sales Master'!$B$3:$FA$3051,156,0)</f>
        <v>10.119999999999999</v>
      </c>
      <c r="O19" s="247">
        <f t="shared" ref="O19" si="1">K19-N19</f>
        <v>13.88</v>
      </c>
      <c r="P19" s="247">
        <f t="shared" ref="P19" si="2">O19*G19</f>
        <v>27.76</v>
      </c>
      <c r="R19" s="95"/>
    </row>
    <row r="20" spans="2:19" ht="20.149999999999999" customHeight="1" x14ac:dyDescent="0.45">
      <c r="B20" s="70"/>
      <c r="C20" s="338" t="s">
        <v>1032</v>
      </c>
      <c r="D20" s="535" t="str">
        <f>VLOOKUP(C20,'Sales Master'!B$3:D$642,2,0)</f>
        <v>Lychee in Syrup 荔枝</v>
      </c>
      <c r="E20" s="535"/>
      <c r="F20" s="535"/>
      <c r="G20" s="45">
        <v>1</v>
      </c>
      <c r="H20" s="241" t="str">
        <f>VLOOKUP(C20,'Sales Master'!B$3:F$936,5,0)</f>
        <v>12can/箱</v>
      </c>
      <c r="I20" s="432" t="str">
        <f>VLOOKUP(C20,'Sales Master'!B$3:E$936,4,0)</f>
        <v>MiLi</v>
      </c>
      <c r="J20" s="432"/>
      <c r="K20" s="203">
        <f>VLOOKUP(C20,'Sales Master'!$B$3:$DI$3109,112,0)</f>
        <v>24.5</v>
      </c>
      <c r="L20" s="131">
        <f t="shared" ref="L20" si="3">K20*G20</f>
        <v>24.5</v>
      </c>
      <c r="N20" s="247">
        <f>VLOOKUP(C20,'Sales Master'!$B$3:$FA$3051,156,0)</f>
        <v>20</v>
      </c>
      <c r="O20" s="247">
        <f t="shared" ref="O20" si="4">K20-N20</f>
        <v>4.5</v>
      </c>
      <c r="P20" s="247">
        <f t="shared" ref="P20" si="5">O20*G20</f>
        <v>4.5</v>
      </c>
      <c r="R20" s="95"/>
    </row>
    <row r="21" spans="2:19" ht="20.149999999999999" customHeight="1" x14ac:dyDescent="0.45">
      <c r="B21" s="70"/>
      <c r="C21" s="338"/>
      <c r="D21" s="430"/>
      <c r="E21" s="430"/>
      <c r="F21" s="430"/>
      <c r="G21" s="45"/>
      <c r="H21" s="241"/>
      <c r="I21" s="432"/>
      <c r="J21" s="432"/>
      <c r="K21" s="203"/>
      <c r="L21" s="131"/>
      <c r="N21" s="247"/>
      <c r="O21" s="247"/>
      <c r="P21" s="247"/>
      <c r="R21" s="95">
        <f>N21*G21*0.07</f>
        <v>0</v>
      </c>
    </row>
    <row r="22" spans="2:19" ht="20.149999999999999" customHeight="1" x14ac:dyDescent="0.45">
      <c r="B22" s="70"/>
      <c r="C22" s="338"/>
      <c r="D22" s="430"/>
      <c r="E22" s="430"/>
      <c r="F22" s="430"/>
      <c r="G22" s="45"/>
      <c r="H22" s="241"/>
      <c r="I22" s="432"/>
      <c r="J22" s="432"/>
      <c r="K22" s="203"/>
      <c r="L22" s="131"/>
      <c r="N22" s="247"/>
      <c r="O22" s="247"/>
      <c r="P22" s="247"/>
      <c r="R22" s="95"/>
    </row>
    <row r="23" spans="2:19" ht="20.149999999999999" customHeight="1" x14ac:dyDescent="0.45">
      <c r="B23" s="70"/>
      <c r="G23" s="99"/>
      <c r="H23" s="241"/>
      <c r="I23" s="206"/>
      <c r="J23" s="206"/>
      <c r="K23" s="203"/>
      <c r="L23" s="131"/>
      <c r="N23" s="258"/>
      <c r="O23" s="258"/>
      <c r="P23" s="258"/>
      <c r="R23" s="95">
        <f t="shared" ref="R23" si="6">N23*G23*0.07</f>
        <v>0</v>
      </c>
    </row>
    <row r="24" spans="2:19" ht="20.149999999999999" customHeight="1" x14ac:dyDescent="0.45">
      <c r="B24" s="70"/>
      <c r="D24" s="69"/>
      <c r="E24" s="69"/>
      <c r="F24" s="69"/>
      <c r="G24" s="45"/>
      <c r="H24" s="241"/>
      <c r="I24" s="241"/>
      <c r="J24" s="241"/>
      <c r="K24" s="22"/>
      <c r="L24" s="131"/>
      <c r="R24" s="95">
        <f>SUM(R18:R23)</f>
        <v>0</v>
      </c>
    </row>
    <row r="25" spans="2:19" ht="20.149999999999999" customHeight="1" x14ac:dyDescent="0.45">
      <c r="B25" s="21"/>
      <c r="G25" s="45"/>
      <c r="H25" s="65"/>
      <c r="I25" s="206"/>
      <c r="J25" s="206"/>
      <c r="K25" s="203"/>
      <c r="L25" s="131"/>
    </row>
    <row r="26" spans="2:19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03"/>
      <c r="L26" s="131"/>
    </row>
    <row r="27" spans="2:19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03"/>
      <c r="L27" s="23"/>
    </row>
    <row r="28" spans="2:19" ht="20.149999999999999" customHeight="1" thickBot="1" x14ac:dyDescent="0.5">
      <c r="B28" s="24"/>
      <c r="C28" s="25"/>
      <c r="D28" s="473"/>
      <c r="E28" s="473"/>
      <c r="F28" s="473"/>
      <c r="G28" s="25"/>
      <c r="H28" s="66"/>
      <c r="I28" s="66"/>
      <c r="J28" s="66"/>
      <c r="K28" s="26"/>
      <c r="L28" s="27"/>
    </row>
    <row r="29" spans="2:19" ht="20.149999999999999" customHeight="1" thickBot="1" x14ac:dyDescent="0.5">
      <c r="B29" s="28"/>
      <c r="L29" s="29"/>
    </row>
    <row r="30" spans="2:19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474" t="s">
        <v>13</v>
      </c>
      <c r="K30" s="475"/>
      <c r="L30" s="30">
        <f>SUM(L16:L29)</f>
        <v>110.5</v>
      </c>
      <c r="M30" s="95">
        <f>SUM(P5:P28)-L30*0.02</f>
        <v>42.65</v>
      </c>
      <c r="N30" s="248">
        <f>M30/L30</f>
        <v>0.38597285067873299</v>
      </c>
    </row>
    <row r="31" spans="2:19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0" t="s">
        <v>553</v>
      </c>
      <c r="K31" s="113">
        <v>6.54E-2</v>
      </c>
      <c r="L31" s="32">
        <f>L33</f>
        <v>8.1851851851851851</v>
      </c>
    </row>
    <row r="32" spans="2:19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476" t="s">
        <v>555</v>
      </c>
      <c r="K32" s="477"/>
      <c r="L32" s="114">
        <f>L30/108*100</f>
        <v>102.31481481481481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1" t="s">
        <v>554</v>
      </c>
      <c r="K33" s="112">
        <v>0.08</v>
      </c>
      <c r="L33" s="44">
        <f>L32*K33</f>
        <v>8.1851851851851851</v>
      </c>
    </row>
    <row r="34" spans="2:12" ht="20.149999999999999" customHeight="1" thickBot="1" x14ac:dyDescent="0.5">
      <c r="B34" s="11" t="s">
        <v>748</v>
      </c>
      <c r="C34" s="10"/>
      <c r="D34" s="10"/>
      <c r="E34" s="10"/>
      <c r="F34" s="10"/>
      <c r="G34" s="10"/>
      <c r="H34" s="10"/>
      <c r="I34" s="10"/>
      <c r="J34" s="478" t="s">
        <v>21</v>
      </c>
      <c r="K34" s="479"/>
      <c r="L34" s="33">
        <f>L32+L33</f>
        <v>110.5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83" t="s">
        <v>749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2">
    <mergeCell ref="D26:F26"/>
    <mergeCell ref="I26:J26"/>
    <mergeCell ref="I27:J27"/>
    <mergeCell ref="D19:F19"/>
    <mergeCell ref="I19:J19"/>
    <mergeCell ref="I22:J22"/>
    <mergeCell ref="D22:F22"/>
    <mergeCell ref="I21:J21"/>
    <mergeCell ref="D21:F21"/>
    <mergeCell ref="J34:K34"/>
    <mergeCell ref="D27:F27"/>
    <mergeCell ref="D28:F28"/>
    <mergeCell ref="J30:K30"/>
    <mergeCell ref="J32:K32"/>
    <mergeCell ref="D17:F17"/>
    <mergeCell ref="I17:J17"/>
    <mergeCell ref="D18:F18"/>
    <mergeCell ref="I18:J18"/>
    <mergeCell ref="I20:J20"/>
    <mergeCell ref="D20:F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F00CE-DF37-43B2-9926-A10553CAF0F1}">
  <sheetPr codeName="Sheet14">
    <tabColor rgb="FF7030A0"/>
    <pageSetUpPr fitToPage="1"/>
  </sheetPr>
  <dimension ref="B1:P43"/>
  <sheetViews>
    <sheetView topLeftCell="B17" workbookViewId="0">
      <selection activeCell="B1" sqref="B1:L4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1238</v>
      </c>
      <c r="J10" s="17" t="s">
        <v>26</v>
      </c>
      <c r="K10" s="455">
        <v>202212319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NF FOOD PAVILION                                                                                  560 MACPHERSON ROAD SINGAPORE 368233</v>
      </c>
      <c r="G11" s="445"/>
      <c r="H11" s="446"/>
      <c r="J11" s="18" t="s">
        <v>9</v>
      </c>
      <c r="K11" s="460">
        <v>44914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122" t="s">
        <v>3</v>
      </c>
      <c r="D17" s="537" t="s">
        <v>4</v>
      </c>
      <c r="E17" s="537"/>
      <c r="F17" s="537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862</v>
      </c>
      <c r="D18" s="430" t="str">
        <f>VLOOKUP(C18,'Sales Master'!B$3:D$642,2,0)</f>
        <v>Fresh Soursop Seedless 红毛榴莲(无)</v>
      </c>
      <c r="E18" s="430"/>
      <c r="F18" s="430"/>
      <c r="G18" s="45">
        <v>3</v>
      </c>
      <c r="H18" s="241" t="str">
        <f>VLOOKUP(C18,'Sales Master'!B$3:F$936,5,0)</f>
        <v>Box/盒</v>
      </c>
      <c r="I18" s="432" t="str">
        <f>VLOOKUP(C18,'Sales Master'!B$3:E$936,4,0)</f>
        <v>DO!</v>
      </c>
      <c r="J18" s="432"/>
      <c r="K18" s="22">
        <f>VLOOKUP(C18,'Sales Master'!B$3:R$536,17,0)</f>
        <v>10</v>
      </c>
      <c r="L18" s="23">
        <f>K18*G18</f>
        <v>30</v>
      </c>
      <c r="N18" s="247">
        <f>VLOOKUP(C18,'Sales Master'!$B$3:$FA$3051,156,0)</f>
        <v>5.13</v>
      </c>
      <c r="O18" s="247">
        <f>K18-N18</f>
        <v>4.87</v>
      </c>
      <c r="P18" s="247">
        <f>O18*G18</f>
        <v>14.61</v>
      </c>
    </row>
    <row r="19" spans="2:16" ht="20.149999999999999" customHeight="1" x14ac:dyDescent="0.45">
      <c r="B19" s="21"/>
      <c r="C19" s="45" t="s">
        <v>821</v>
      </c>
      <c r="D19" s="430" t="str">
        <f>VLOOKUP(C19,'Sales Master'!B$3:D$642,2,0)</f>
        <v>Mango Puree 芒果浆</v>
      </c>
      <c r="E19" s="430"/>
      <c r="F19" s="430"/>
      <c r="G19" s="45">
        <v>5</v>
      </c>
      <c r="H19" s="241" t="str">
        <f>VLOOKUP(C19,'Sales Master'!B$3:F$936,5,0)</f>
        <v>Box/盒</v>
      </c>
      <c r="I19" s="432" t="str">
        <f>VLOOKUP(C19,'Sales Master'!B$3:E$936,4,0)</f>
        <v>DO!</v>
      </c>
      <c r="J19" s="432"/>
      <c r="K19" s="22">
        <f>VLOOKUP(C19,'Sales Master'!B$3:R$536,17,0)</f>
        <v>7</v>
      </c>
      <c r="L19" s="23">
        <f>K19*G19</f>
        <v>35</v>
      </c>
      <c r="N19" s="247">
        <f>VLOOKUP(C19,'Sales Master'!$B$3:$FA$3051,156,0)</f>
        <v>2.15</v>
      </c>
      <c r="O19" s="247">
        <f>K19-N19</f>
        <v>4.8499999999999996</v>
      </c>
      <c r="P19" s="247">
        <f>O19*G19</f>
        <v>24.25</v>
      </c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23"/>
    </row>
    <row r="21" spans="2:16" ht="20.149999999999999" customHeight="1" x14ac:dyDescent="0.5">
      <c r="B21" s="21"/>
      <c r="C21" s="45"/>
      <c r="D21" s="69"/>
      <c r="E21" s="69"/>
      <c r="F21" s="69"/>
      <c r="G21" s="45"/>
      <c r="H21" s="65"/>
      <c r="I21" s="326"/>
      <c r="J21" s="65" t="s">
        <v>1393</v>
      </c>
      <c r="K21" s="22"/>
      <c r="L21" s="23">
        <v>10</v>
      </c>
    </row>
    <row r="22" spans="2:16" ht="20.149999999999999" customHeight="1" x14ac:dyDescent="0.45">
      <c r="B22" s="21"/>
      <c r="C22" s="45"/>
      <c r="D22" s="69"/>
      <c r="E22" s="69"/>
      <c r="F22" s="69"/>
      <c r="G22" s="45"/>
      <c r="H22" s="65"/>
      <c r="I22" s="65"/>
      <c r="J22" s="65"/>
      <c r="K22" s="22"/>
      <c r="L22" s="23"/>
    </row>
    <row r="23" spans="2:16" ht="20.149999999999999" customHeight="1" x14ac:dyDescent="0.45">
      <c r="B23" s="21"/>
      <c r="C23" s="12" t="s">
        <v>1236</v>
      </c>
      <c r="D23" s="69"/>
      <c r="E23" s="69"/>
      <c r="F23" s="69"/>
      <c r="G23" s="45"/>
      <c r="H23" s="65"/>
      <c r="I23" s="65"/>
      <c r="J23" s="65"/>
      <c r="K23" s="22"/>
      <c r="L23" s="23"/>
    </row>
    <row r="24" spans="2:16" ht="20.149999999999999" customHeight="1" x14ac:dyDescent="0.45">
      <c r="B24" s="21"/>
      <c r="C24" s="69" t="s">
        <v>1363</v>
      </c>
      <c r="D24" s="69"/>
      <c r="E24" s="69"/>
      <c r="F24" s="69"/>
      <c r="G24" s="45"/>
      <c r="H24" s="65"/>
      <c r="I24" s="65"/>
      <c r="J24" s="65"/>
      <c r="K24" s="22"/>
      <c r="L24" s="23"/>
    </row>
    <row r="25" spans="2:16" ht="20.149999999999999" customHeight="1" x14ac:dyDescent="0.45">
      <c r="B25" s="21"/>
      <c r="C25" s="69" t="s">
        <v>1364</v>
      </c>
      <c r="D25" s="69"/>
      <c r="E25" s="69"/>
      <c r="F25" s="69"/>
      <c r="G25" s="45"/>
      <c r="H25" s="65"/>
      <c r="I25" s="65"/>
      <c r="J25" s="65"/>
      <c r="K25" s="22"/>
      <c r="L25" s="23"/>
    </row>
    <row r="26" spans="2:16" ht="20.149999999999999" customHeight="1" x14ac:dyDescent="0.45">
      <c r="B26" s="21"/>
      <c r="C26" s="45"/>
      <c r="D26" s="430"/>
      <c r="E26" s="430"/>
      <c r="F26" s="430"/>
      <c r="G26" s="45"/>
      <c r="H26" s="65"/>
      <c r="K26" s="96"/>
      <c r="L26" s="131"/>
    </row>
    <row r="27" spans="2:16" ht="20.149999999999999" customHeight="1" x14ac:dyDescent="0.45">
      <c r="B27" s="21"/>
      <c r="H27" s="206"/>
      <c r="I27" s="206"/>
      <c r="J27" s="206"/>
      <c r="K27" s="242"/>
      <c r="L27" s="23"/>
    </row>
    <row r="28" spans="2:16" ht="20.149999999999999" customHeight="1" x14ac:dyDescent="0.45">
      <c r="B28" s="21"/>
      <c r="H28" s="206"/>
      <c r="I28" s="206"/>
      <c r="J28" s="206"/>
      <c r="K28" s="242"/>
      <c r="L28" s="23"/>
    </row>
    <row r="29" spans="2:16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SUM(L17:L30)</f>
        <v>75</v>
      </c>
      <c r="M31" s="95">
        <f>SUM(P18:P29)-L31*0.02</f>
        <v>37.36</v>
      </c>
      <c r="N31" s="248">
        <f>M31/L31</f>
        <v>0.49813333333333332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L34</f>
        <v>5.5555555555555554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L31/108*100</f>
        <v>69.444444444444443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0.08</v>
      </c>
      <c r="L34" s="44">
        <f>L33*K34</f>
        <v>5.5555555555555554</v>
      </c>
    </row>
    <row r="35" spans="2:12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75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83" t="s">
        <v>749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2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6:F26"/>
    <mergeCell ref="J33:K33"/>
    <mergeCell ref="J35:K35"/>
    <mergeCell ref="D29:F29"/>
    <mergeCell ref="J31:K31"/>
  </mergeCells>
  <pageMargins left="0.7" right="0.3" top="0.25" bottom="0.25" header="0.31496062992126" footer="0.31496062992126"/>
  <pageSetup paperSize="9" scale="76" fitToHeight="0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15D8F-D9FF-42FE-A6AD-D088DDD2BD7D}">
  <sheetPr codeName="Sheet15">
    <tabColor rgb="FF7030A0"/>
    <pageSetUpPr fitToPage="1"/>
  </sheetPr>
  <dimension ref="B1:P40"/>
  <sheetViews>
    <sheetView topLeftCell="B19" zoomScaleNormal="100" workbookViewId="0">
      <selection activeCell="C23" sqref="C23:K2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458</v>
      </c>
      <c r="J10" s="17" t="s">
        <v>26</v>
      </c>
      <c r="K10" s="455">
        <v>202310309</v>
      </c>
      <c r="L10" s="456"/>
    </row>
    <row r="11" spans="2:14" ht="20.149999999999999" customHeight="1" x14ac:dyDescent="0.45">
      <c r="B11" s="480" t="s">
        <v>352</v>
      </c>
      <c r="C11" s="481"/>
      <c r="D11" s="482"/>
      <c r="E11" s="61"/>
      <c r="F11" s="444" t="str">
        <f>VLOOKUP(H10,'Delivery Location'!A$4:N$423,2,0)</f>
        <v>Hock Lian Food Center P L                  Blk 2  Joo Chiat Complex,   Joo Chiat Road  #01-1127 Singpaore Singapore 420002</v>
      </c>
      <c r="G11" s="445"/>
      <c r="H11" s="446"/>
      <c r="J11" s="18" t="s">
        <v>9</v>
      </c>
      <c r="K11" s="460">
        <v>45213</v>
      </c>
      <c r="L11" s="461"/>
    </row>
    <row r="12" spans="2:14" ht="20.149999999999999" customHeight="1" x14ac:dyDescent="0.45">
      <c r="B12" s="462" t="s">
        <v>1298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 t="s">
        <v>726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4" ht="20.149999999999999" customHeight="1" x14ac:dyDescent="0.45">
      <c r="B14" s="462" t="s">
        <v>353</v>
      </c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 t="s">
        <v>354</v>
      </c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4" ht="19" thickBot="1" x14ac:dyDescent="0.5">
      <c r="J16" s="45"/>
      <c r="N16" s="69" t="s">
        <v>609</v>
      </c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816</v>
      </c>
      <c r="D18" s="430" t="str">
        <f>VLOOKUP(C18,'Sales Master'!B$3:D$316,2,0)</f>
        <v xml:space="preserve">Fresh Soursop 红毛榴莲 </v>
      </c>
      <c r="E18" s="430"/>
      <c r="F18" s="430"/>
      <c r="G18" s="45">
        <v>4</v>
      </c>
      <c r="H18" s="241" t="str">
        <f>VLOOKUP(C18,'Sales Master'!B$3:F$936,5,0)</f>
        <v>5 KGS/ Pkt包</v>
      </c>
      <c r="I18" s="432" t="str">
        <f>VLOOKUP(C18,'Sales Master'!B$3:E$936,4,0)</f>
        <v>DO!</v>
      </c>
      <c r="J18" s="432"/>
      <c r="K18" s="22">
        <v>32</v>
      </c>
      <c r="L18" s="71">
        <f>K18*G18</f>
        <v>128</v>
      </c>
      <c r="N18" s="247">
        <f>VLOOKUP(C18,'Sales Master'!$B$3:$FA$3051,156,0)</f>
        <v>23.67</v>
      </c>
      <c r="O18" s="247">
        <f>K18-N18</f>
        <v>8.3299999999999983</v>
      </c>
      <c r="P18" s="247">
        <f>O18*G18</f>
        <v>33.319999999999993</v>
      </c>
    </row>
    <row r="19" spans="2:16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96"/>
      <c r="L20" s="98"/>
    </row>
    <row r="21" spans="2:16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6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6" ht="20.149999999999999" customHeight="1" x14ac:dyDescent="0.45">
      <c r="B23" s="70"/>
      <c r="C23" s="305" t="s">
        <v>1742</v>
      </c>
      <c r="G23" s="233"/>
      <c r="H23" s="65"/>
      <c r="I23" s="65"/>
      <c r="J23" s="65"/>
      <c r="K23" s="22"/>
      <c r="L23" s="71"/>
    </row>
    <row r="24" spans="2:16" ht="20.149999999999999" customHeight="1" x14ac:dyDescent="0.45">
      <c r="B24" s="21"/>
      <c r="C24" s="338" t="s">
        <v>816</v>
      </c>
      <c r="D24" s="430" t="str">
        <f>VLOOKUP(C24,'Sales Master'!B$3:D$644,2,0)</f>
        <v xml:space="preserve">Fresh Soursop 红毛榴莲 </v>
      </c>
      <c r="E24" s="430"/>
      <c r="F24" s="430"/>
      <c r="G24" s="233">
        <v>1</v>
      </c>
      <c r="H24" s="241" t="str">
        <f>VLOOKUP(C24,'Sales Master'!B$3:F$936,5,0)</f>
        <v>5 KGS/ Pkt包</v>
      </c>
      <c r="I24" s="432" t="str">
        <f>VLOOKUP(C24,'Sales Master'!B$3:E$936,4,0)</f>
        <v>DO!</v>
      </c>
      <c r="J24" s="432"/>
      <c r="K24" s="22">
        <v>34</v>
      </c>
      <c r="L24" s="23"/>
    </row>
    <row r="25" spans="2:16" ht="20.149999999999999" customHeight="1" x14ac:dyDescent="0.45">
      <c r="B25" s="21"/>
      <c r="C25" s="45"/>
      <c r="D25" s="503"/>
      <c r="E25" s="503"/>
      <c r="F25" s="503"/>
      <c r="G25" s="45"/>
      <c r="H25" s="65"/>
      <c r="I25" s="65"/>
      <c r="J25" s="65"/>
      <c r="K25" s="22"/>
      <c r="L25" s="23"/>
    </row>
    <row r="26" spans="2:16" ht="20.149999999999999" customHeight="1" thickBot="1" x14ac:dyDescent="0.5">
      <c r="B26" s="24"/>
      <c r="C26" s="25"/>
      <c r="D26" s="473"/>
      <c r="E26" s="473"/>
      <c r="F26" s="473"/>
      <c r="G26" s="25"/>
      <c r="H26" s="66"/>
      <c r="I26" s="66"/>
      <c r="J26" s="66"/>
      <c r="K26" s="26"/>
      <c r="L26" s="27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16</v>
      </c>
      <c r="C28" s="10"/>
      <c r="D28" s="10"/>
      <c r="E28" s="10"/>
      <c r="F28" s="10"/>
      <c r="G28" s="10"/>
      <c r="H28" s="10"/>
      <c r="I28" s="10"/>
      <c r="J28" s="474" t="s">
        <v>13</v>
      </c>
      <c r="K28" s="475"/>
      <c r="L28" s="30">
        <f>SUM(L16:L27)</f>
        <v>128</v>
      </c>
      <c r="M28" s="95">
        <f>SUM(P14:P26)-L29</f>
        <v>23.838518518518512</v>
      </c>
      <c r="N28" s="248">
        <f>M28/L28</f>
        <v>0.18623842592592588</v>
      </c>
    </row>
    <row r="29" spans="2:16" ht="20.149999999999999" customHeight="1" x14ac:dyDescent="0.45">
      <c r="B29" s="11" t="s">
        <v>17</v>
      </c>
      <c r="C29" s="10"/>
      <c r="D29" s="10"/>
      <c r="E29" s="10"/>
      <c r="F29" s="10"/>
      <c r="G29" s="10"/>
      <c r="H29" s="10"/>
      <c r="I29" s="10"/>
      <c r="J29" s="110" t="s">
        <v>553</v>
      </c>
      <c r="K29" s="113">
        <v>6.54E-2</v>
      </c>
      <c r="L29" s="32">
        <f>L31</f>
        <v>9.481481481481481</v>
      </c>
    </row>
    <row r="30" spans="2:16" ht="20.149999999999999" customHeight="1" x14ac:dyDescent="0.45">
      <c r="B30" s="11" t="s">
        <v>18</v>
      </c>
      <c r="C30" s="10"/>
      <c r="D30" s="10"/>
      <c r="E30" s="10"/>
      <c r="F30" s="10"/>
      <c r="G30" s="10"/>
      <c r="H30" s="10"/>
      <c r="I30" s="10"/>
      <c r="J30" s="476" t="s">
        <v>555</v>
      </c>
      <c r="K30" s="477"/>
      <c r="L30" s="114">
        <f>L28/108*100</f>
        <v>118.5185185185185</v>
      </c>
    </row>
    <row r="31" spans="2:16" ht="20.149999999999999" customHeight="1" x14ac:dyDescent="0.45">
      <c r="B31" s="11" t="s">
        <v>22</v>
      </c>
      <c r="C31" s="10"/>
      <c r="D31" s="10"/>
      <c r="E31" s="10"/>
      <c r="F31" s="10"/>
      <c r="G31" s="10"/>
      <c r="H31" s="10"/>
      <c r="I31" s="10"/>
      <c r="J31" s="111" t="s">
        <v>554</v>
      </c>
      <c r="K31" s="112">
        <v>0.08</v>
      </c>
      <c r="L31" s="44">
        <f>L30*K31</f>
        <v>9.481481481481481</v>
      </c>
    </row>
    <row r="32" spans="2:16" ht="20.149999999999999" customHeight="1" thickBot="1" x14ac:dyDescent="0.5">
      <c r="B32" s="11" t="s">
        <v>748</v>
      </c>
      <c r="C32" s="10"/>
      <c r="D32" s="10"/>
      <c r="E32" s="10"/>
      <c r="F32" s="10"/>
      <c r="G32" s="10"/>
      <c r="H32" s="10"/>
      <c r="I32" s="10"/>
      <c r="J32" s="478" t="s">
        <v>21</v>
      </c>
      <c r="K32" s="479"/>
      <c r="L32" s="33">
        <f>L30+L31</f>
        <v>127.99999999999999</v>
      </c>
    </row>
    <row r="33" spans="2:12" ht="20.149999999999999" customHeight="1" x14ac:dyDescent="0.45">
      <c r="B33" s="11" t="s">
        <v>23</v>
      </c>
      <c r="C33" s="10"/>
      <c r="D33" s="10"/>
      <c r="E33" s="10"/>
      <c r="F33" s="10"/>
      <c r="G33" s="10"/>
      <c r="H33" s="10"/>
      <c r="I33" s="10"/>
      <c r="L33" s="29"/>
    </row>
    <row r="34" spans="2:12" ht="20.149999999999999" customHeight="1" x14ac:dyDescent="0.45">
      <c r="B34" s="183" t="s">
        <v>749</v>
      </c>
      <c r="L34" s="29"/>
    </row>
    <row r="35" spans="2:12" ht="20.149999999999999" customHeight="1" x14ac:dyDescent="0.45">
      <c r="B35" s="28"/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24</v>
      </c>
      <c r="J39" s="60" t="s">
        <v>25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2:K32"/>
    <mergeCell ref="D24:F24"/>
    <mergeCell ref="D25:F25"/>
    <mergeCell ref="D26:F26"/>
    <mergeCell ref="J28:K28"/>
    <mergeCell ref="J30:K30"/>
    <mergeCell ref="I24:J24"/>
    <mergeCell ref="I21:J21"/>
    <mergeCell ref="D22:F22"/>
    <mergeCell ref="I22:J22"/>
    <mergeCell ref="I20:J20"/>
    <mergeCell ref="D17:F17"/>
    <mergeCell ref="I17:J17"/>
    <mergeCell ref="D18:F18"/>
    <mergeCell ref="I18:J18"/>
    <mergeCell ref="D19:F19"/>
    <mergeCell ref="I19:J19"/>
    <mergeCell ref="D20:F20"/>
    <mergeCell ref="D21:F21"/>
  </mergeCells>
  <conditionalFormatting sqref="C23">
    <cfRule type="duplicateValues" dxfId="68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E1DD3-124C-4249-8316-F5237C2E9B4B}">
  <sheetPr codeName="Sheet16">
    <tabColor rgb="FFFFC000"/>
    <pageSetUpPr fitToPage="1"/>
  </sheetPr>
  <dimension ref="B1:P55"/>
  <sheetViews>
    <sheetView tabSelected="1" topLeftCell="A12" zoomScaleNormal="100" workbookViewId="0">
      <selection activeCell="I33" sqref="I33:J33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1.8164062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456</v>
      </c>
      <c r="J10" s="17" t="s">
        <v>26</v>
      </c>
      <c r="K10" s="455">
        <v>202311139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隹 发生果店                                              Ubi Ave 1,  Blk 302.    #01- 79    Singapore 400302</v>
      </c>
      <c r="G11" s="445"/>
      <c r="H11" s="446"/>
      <c r="J11" s="18" t="s">
        <v>9</v>
      </c>
      <c r="K11" s="460">
        <v>45236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167" t="s">
        <v>605</v>
      </c>
      <c r="L15" s="138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831</v>
      </c>
      <c r="D18" s="430" t="str">
        <f>VLOOKUP(C18,'Sales Master'!B$3:D$644,2,0)</f>
        <v>Chendol 浆咯</v>
      </c>
      <c r="E18" s="430"/>
      <c r="F18" s="430"/>
      <c r="G18" s="45">
        <v>1</v>
      </c>
      <c r="H18" s="241" t="str">
        <f>VLOOKUP(C18,'Sales Master'!B$3:F$936,5,0)</f>
        <v>NW(2.2:0.8) 3 KGS/ Bag</v>
      </c>
      <c r="I18" s="432" t="str">
        <f>VLOOKUP(C18,'Sales Master'!B$3:E$936,4,0)</f>
        <v>DO!</v>
      </c>
      <c r="J18" s="432"/>
      <c r="K18" s="22">
        <f>VLOOKUP(C18,'Sales Master'!B$3:AB$936,27,0)</f>
        <v>7</v>
      </c>
      <c r="L18" s="23">
        <f t="shared" ref="L18" si="0">K18*G18</f>
        <v>7</v>
      </c>
      <c r="N18" s="247">
        <f>VLOOKUP(C18,'Sales Master'!$B$3:$FA$3051,156,0)</f>
        <v>2.44</v>
      </c>
      <c r="O18" s="247">
        <f t="shared" ref="O18" si="1">K18-N18</f>
        <v>4.5600000000000005</v>
      </c>
      <c r="P18" s="247">
        <f t="shared" ref="P18" si="2">O18*G18</f>
        <v>4.5600000000000005</v>
      </c>
    </row>
    <row r="19" spans="2:16" ht="20.149999999999999" customHeight="1" x14ac:dyDescent="0.45">
      <c r="B19" s="21"/>
      <c r="C19" s="338" t="s">
        <v>862</v>
      </c>
      <c r="D19" s="487" t="str">
        <f>VLOOKUP(C19,'Sales Master'!B$3:D$644,2,0)</f>
        <v>Fresh Soursop Seedless 红毛榴莲(无)</v>
      </c>
      <c r="E19" s="487"/>
      <c r="F19" s="487"/>
      <c r="G19" s="45">
        <v>2</v>
      </c>
      <c r="H19" s="241" t="str">
        <f>VLOOKUP(C19,'Sales Master'!B$3:F$936,5,0)</f>
        <v>Box/盒</v>
      </c>
      <c r="I19" s="432" t="str">
        <f>VLOOKUP(C19,'Sales Master'!B$3:E$936,4,0)</f>
        <v>DO!</v>
      </c>
      <c r="J19" s="432"/>
      <c r="K19" s="22">
        <f>VLOOKUP(C19,'Sales Master'!B$3:AB$936,27,0)</f>
        <v>10</v>
      </c>
      <c r="L19" s="23">
        <f t="shared" ref="L19" si="3">K19*G19</f>
        <v>20</v>
      </c>
      <c r="N19" s="247">
        <f>VLOOKUP(C19,'Sales Master'!$B$3:$FA$3051,156,0)</f>
        <v>5.13</v>
      </c>
      <c r="O19" s="247">
        <f t="shared" ref="O19" si="4">K19-N19</f>
        <v>4.87</v>
      </c>
      <c r="P19" s="247">
        <f t="shared" ref="P19" si="5">O19*G19</f>
        <v>9.74</v>
      </c>
    </row>
    <row r="20" spans="2:16" ht="20.149999999999999" customHeight="1" x14ac:dyDescent="0.45">
      <c r="B20" s="21"/>
      <c r="C20" s="338" t="s">
        <v>851</v>
      </c>
      <c r="D20" s="535" t="str">
        <f>VLOOKUP(C20,'Sales Master'!B$3:D$644,2,0)</f>
        <v>Honey Pearl - Black 蜜糖珍珠-黑</v>
      </c>
      <c r="E20" s="535"/>
      <c r="F20" s="535"/>
      <c r="G20" s="99">
        <v>1</v>
      </c>
      <c r="H20" s="241" t="str">
        <f>VLOOKUP(C20,'Sales Master'!B$3:F$936,5,0)</f>
        <v>1 kg/Bag</v>
      </c>
      <c r="I20" s="432" t="str">
        <f>VLOOKUP(C20,'Sales Master'!B$3:E$936,4,0)</f>
        <v>-</v>
      </c>
      <c r="J20" s="432"/>
      <c r="K20" s="22">
        <f>VLOOKUP(C20,'Sales Master'!B$3:AB$936,27,0)</f>
        <v>7.5</v>
      </c>
      <c r="L20" s="23">
        <f>K20*G20</f>
        <v>7.5</v>
      </c>
      <c r="N20" s="247">
        <f>VLOOKUP(C20,'Sales Master'!$B$3:$FA$3051,156,0)</f>
        <v>6</v>
      </c>
      <c r="O20" s="247">
        <f>K20-N20</f>
        <v>1.5</v>
      </c>
      <c r="P20" s="247">
        <f>O20*G20</f>
        <v>1.5</v>
      </c>
    </row>
    <row r="21" spans="2:16" ht="20.149999999999999" customHeight="1" x14ac:dyDescent="0.45">
      <c r="B21" s="21"/>
      <c r="C21" s="338" t="s">
        <v>887</v>
      </c>
      <c r="D21" s="430" t="str">
        <f>VLOOKUP(C21,'Sales Master'!B$3:D$644,2,0)</f>
        <v>Sweet Potato Powder 番薯粉</v>
      </c>
      <c r="E21" s="430"/>
      <c r="F21" s="430"/>
      <c r="G21" s="99">
        <v>1</v>
      </c>
      <c r="H21" s="241" t="str">
        <f>VLOOKUP(C21,'Sales Master'!B$3:F$936,5,0)</f>
        <v>3 kgs</v>
      </c>
      <c r="I21" s="432" t="str">
        <f>VLOOKUP(C21,'Sales Master'!B$3:E$936,4,0)</f>
        <v>RE-PACK</v>
      </c>
      <c r="J21" s="432"/>
      <c r="K21" s="22">
        <f>VLOOKUP(C21,'Sales Master'!B$3:AB$936,27,0)</f>
        <v>11</v>
      </c>
      <c r="L21" s="23">
        <f t="shared" ref="L21:L29" si="6">K21*G21</f>
        <v>11</v>
      </c>
      <c r="N21" s="247">
        <f>VLOOKUP(C21,'Sales Master'!$B$3:$FA$3051,156,0)</f>
        <v>7.4399999999999995</v>
      </c>
      <c r="O21" s="247">
        <f t="shared" ref="O21:O29" si="7">K21-N21</f>
        <v>3.5600000000000005</v>
      </c>
      <c r="P21" s="247">
        <f t="shared" ref="P21:P29" si="8">O21*G21</f>
        <v>3.5600000000000005</v>
      </c>
    </row>
    <row r="22" spans="2:16" ht="20.149999999999999" customHeight="1" x14ac:dyDescent="0.45">
      <c r="B22" s="21"/>
      <c r="C22" s="338" t="s">
        <v>915</v>
      </c>
      <c r="D22" s="430" t="str">
        <f>VLOOKUP(C22,'Sales Master'!B$3:D$644,2,0)</f>
        <v>Atap Seeds in Syrup 亚嗒子</v>
      </c>
      <c r="E22" s="430"/>
      <c r="F22" s="430"/>
      <c r="G22" s="45">
        <v>2</v>
      </c>
      <c r="H22" s="418" t="str">
        <f>VLOOKUP(C22,'Sales Master'!B$3:F$936,5,0)</f>
        <v>NW (2.1:0.9) 3 kgs</v>
      </c>
      <c r="I22" s="432" t="str">
        <f>VLOOKUP(C22,'Sales Master'!B$3:E$936,4,0)</f>
        <v>2P</v>
      </c>
      <c r="J22" s="432"/>
      <c r="K22" s="22">
        <f>VLOOKUP(C22,'Sales Master'!B$3:AB$936,27,0)</f>
        <v>11.5</v>
      </c>
      <c r="L22" s="23">
        <f>K22*G22</f>
        <v>23</v>
      </c>
      <c r="N22" s="247">
        <f>VLOOKUP(C22,'Sales Master'!$B$3:$FA$3051,156,0)</f>
        <v>10.692</v>
      </c>
      <c r="O22" s="247">
        <f>K22-N22</f>
        <v>0.80799999999999983</v>
      </c>
      <c r="P22" s="247">
        <f>O22*G22</f>
        <v>1.6159999999999997</v>
      </c>
    </row>
    <row r="23" spans="2:16" ht="20.149999999999999" customHeight="1" x14ac:dyDescent="0.45">
      <c r="B23" s="21"/>
      <c r="C23" s="338" t="s">
        <v>934</v>
      </c>
      <c r="D23" s="430" t="str">
        <f>VLOOKUP(C23,'Sales Master'!B$3:D$644,2,0)</f>
        <v>Chia Tao赤豆</v>
      </c>
      <c r="E23" s="430"/>
      <c r="F23" s="430"/>
      <c r="G23" s="99">
        <v>2</v>
      </c>
      <c r="H23" s="241" t="str">
        <f>VLOOKUP(C23,'Sales Master'!B$3:F$936,5,0)</f>
        <v>5 kgs</v>
      </c>
      <c r="I23" s="432" t="str">
        <f>VLOOKUP(C23,'Sales Master'!B$3:E$936,4,0)</f>
        <v>RE-PACK</v>
      </c>
      <c r="J23" s="432"/>
      <c r="K23" s="22">
        <f>VLOOKUP(C23,'Sales Master'!B$3:AB$936,27,0)</f>
        <v>17</v>
      </c>
      <c r="L23" s="23">
        <f>K23*G23</f>
        <v>34</v>
      </c>
      <c r="N23" s="247">
        <f>VLOOKUP(C23,'Sales Master'!$B$3:$FA$3051,156,0)</f>
        <v>12.42</v>
      </c>
      <c r="O23" s="247">
        <f>K23-N23</f>
        <v>4.58</v>
      </c>
      <c r="P23" s="247">
        <f>O23*G23</f>
        <v>9.16</v>
      </c>
    </row>
    <row r="24" spans="2:16" ht="20.149999999999999" customHeight="1" x14ac:dyDescent="0.45">
      <c r="B24" s="21"/>
      <c r="C24" s="338" t="s">
        <v>937</v>
      </c>
      <c r="D24" s="430" t="str">
        <f>VLOOKUP(C24,'Sales Master'!B$3:D$644,2,0)</f>
        <v>Green Bean 绿豆</v>
      </c>
      <c r="E24" s="430"/>
      <c r="F24" s="430"/>
      <c r="G24" s="45">
        <v>1</v>
      </c>
      <c r="H24" s="241" t="str">
        <f>VLOOKUP(C24,'Sales Master'!B$3:F$936,5,0)</f>
        <v>5 KGS</v>
      </c>
      <c r="I24" s="432" t="str">
        <f>VLOOKUP(C24,'Sales Master'!B$3:E$936,4,0)</f>
        <v>-</v>
      </c>
      <c r="J24" s="432"/>
      <c r="K24" s="22">
        <f>VLOOKUP(C24,'Sales Master'!B$3:AB$936,27,0)</f>
        <v>14</v>
      </c>
      <c r="L24" s="23">
        <f>K24*G24</f>
        <v>14</v>
      </c>
      <c r="N24" s="247">
        <f>VLOOKUP(C24,'Sales Master'!$B$3:$FA$3051,156,0)</f>
        <v>9.7199999999999989</v>
      </c>
      <c r="O24" s="247">
        <f>K24-N24</f>
        <v>4.2800000000000011</v>
      </c>
      <c r="P24" s="247">
        <f>O24*G24</f>
        <v>4.2800000000000011</v>
      </c>
    </row>
    <row r="25" spans="2:16" ht="20.149999999999999" customHeight="1" x14ac:dyDescent="0.45">
      <c r="B25" s="21"/>
      <c r="C25" s="338" t="s">
        <v>943</v>
      </c>
      <c r="D25" s="430" t="str">
        <f>VLOOKUP(C25,'Sales Master'!B$3:D$644,2,0)</f>
        <v>Split Green Mung Bean 豆爽</v>
      </c>
      <c r="E25" s="430"/>
      <c r="F25" s="430"/>
      <c r="G25" s="99">
        <v>1</v>
      </c>
      <c r="H25" s="241" t="str">
        <f>VLOOKUP(C25,'Sales Master'!B$3:F$936,5,0)</f>
        <v>5 KG</v>
      </c>
      <c r="I25" s="432" t="str">
        <f>VLOOKUP(C25,'Sales Master'!B$3:E$936,4,0)</f>
        <v>SW</v>
      </c>
      <c r="J25" s="432"/>
      <c r="K25" s="22">
        <f>VLOOKUP(C25,'Sales Master'!B$3:AB$936,27,0)</f>
        <v>17</v>
      </c>
      <c r="L25" s="23">
        <f>K25*G25</f>
        <v>17</v>
      </c>
      <c r="N25" s="247">
        <f>VLOOKUP(C25,'Sales Master'!$B$3:$FA$3051,156,0)</f>
        <v>14.040000000000001</v>
      </c>
      <c r="O25" s="247">
        <f>K25-N25</f>
        <v>2.9599999999999991</v>
      </c>
      <c r="P25" s="247">
        <f>O25*G25</f>
        <v>2.9599999999999991</v>
      </c>
    </row>
    <row r="26" spans="2:16" ht="20.149999999999999" customHeight="1" x14ac:dyDescent="0.45">
      <c r="B26" s="21"/>
      <c r="C26" s="338" t="s">
        <v>949</v>
      </c>
      <c r="D26" s="430" t="str">
        <f>VLOOKUP(C26,'Sales Master'!B$3:D$644,2,0)</f>
        <v>Black Glutinous Rice 黑糯米</v>
      </c>
      <c r="E26" s="430"/>
      <c r="F26" s="430"/>
      <c r="G26" s="45">
        <v>1</v>
      </c>
      <c r="H26" s="241" t="str">
        <f>VLOOKUP(C26,'Sales Master'!B$3:F$936,5,0)</f>
        <v>5 kgs</v>
      </c>
      <c r="I26" s="432" t="str">
        <f>VLOOKUP(C26,'Sales Master'!B$3:E$936,4,0)</f>
        <v>-</v>
      </c>
      <c r="J26" s="432"/>
      <c r="K26" s="22">
        <f>VLOOKUP(C26,'Sales Master'!B$3:AB$936,27,0)</f>
        <v>18</v>
      </c>
      <c r="L26" s="23">
        <f>K26*G26</f>
        <v>18</v>
      </c>
      <c r="N26" s="247">
        <f>VLOOKUP(C26,'Sales Master'!$B$3:$FA$3051,156,0)</f>
        <v>12.960000000000003</v>
      </c>
      <c r="O26" s="247">
        <f>K26-N26</f>
        <v>5.0399999999999974</v>
      </c>
      <c r="P26" s="247">
        <f>O26*G26</f>
        <v>5.0399999999999974</v>
      </c>
    </row>
    <row r="27" spans="2:16" ht="20.149999999999999" customHeight="1" x14ac:dyDescent="0.45">
      <c r="B27" s="21"/>
      <c r="C27" s="338" t="s">
        <v>968</v>
      </c>
      <c r="D27" s="430" t="str">
        <f>VLOOKUP(C27,'Sales Master'!B$3:D$644,2,0)</f>
        <v>Dried Longan 龙眼干</v>
      </c>
      <c r="E27" s="430"/>
      <c r="F27" s="430"/>
      <c r="G27" s="99">
        <v>1</v>
      </c>
      <c r="H27" s="241" t="str">
        <f>VLOOKUP(C27,'Sales Master'!B$3:F$936,5,0)</f>
        <v>1 kg</v>
      </c>
      <c r="I27" s="432" t="str">
        <f>VLOOKUP(C27,'Sales Master'!B$3:E$936,4,0)</f>
        <v>AAA</v>
      </c>
      <c r="J27" s="432"/>
      <c r="K27" s="22">
        <f>VLOOKUP(C27,'Sales Master'!B$3:AB$936,27,0)</f>
        <v>13</v>
      </c>
      <c r="L27" s="23">
        <f t="shared" ref="L27" si="9">K27*G27</f>
        <v>13</v>
      </c>
      <c r="N27" s="247">
        <f>VLOOKUP(C27,'Sales Master'!$B$3:$FA$3051,156,0)</f>
        <v>8.8000000000000007</v>
      </c>
      <c r="O27" s="247">
        <f t="shared" ref="O27" si="10">K27-N27</f>
        <v>4.1999999999999993</v>
      </c>
      <c r="P27" s="247">
        <f t="shared" ref="P27" si="11">O27*G27</f>
        <v>4.1999999999999993</v>
      </c>
    </row>
    <row r="28" spans="2:16" ht="20.149999999999999" customHeight="1" x14ac:dyDescent="0.45">
      <c r="B28" s="21"/>
      <c r="C28" s="338" t="s">
        <v>1022</v>
      </c>
      <c r="D28" s="430" t="str">
        <f>VLOOKUP(C28,'Sales Master'!B$3:D$644,2,0)</f>
        <v>Nata 椰果芊 15mm</v>
      </c>
      <c r="E28" s="430"/>
      <c r="F28" s="430"/>
      <c r="G28" s="45">
        <v>1</v>
      </c>
      <c r="H28" s="241" t="str">
        <f>VLOOKUP(C28,'Sales Master'!B$3:F$936,5,0)</f>
        <v>1 Can X A10</v>
      </c>
      <c r="I28" s="432" t="str">
        <f>VLOOKUP(C28,'Sales Master'!B$3:E$936,4,0)</f>
        <v>Chefs</v>
      </c>
      <c r="J28" s="432"/>
      <c r="K28" s="22">
        <f>VLOOKUP(C28,'Sales Master'!B$3:AB$936,27,0)</f>
        <v>9.5</v>
      </c>
      <c r="L28" s="23">
        <f t="shared" ref="L28" si="12">K28*G28</f>
        <v>9.5</v>
      </c>
      <c r="N28" s="247">
        <f>VLOOKUP(C28,'Sales Master'!$B$3:$FA$3051,156,0)</f>
        <v>6.916666666666667</v>
      </c>
      <c r="O28" s="247">
        <f t="shared" ref="O28" si="13">K28-N28</f>
        <v>2.583333333333333</v>
      </c>
      <c r="P28" s="247">
        <f t="shared" ref="P28" si="14">O28*G28</f>
        <v>2.583333333333333</v>
      </c>
    </row>
    <row r="29" spans="2:16" ht="20.149999999999999" customHeight="1" x14ac:dyDescent="0.45">
      <c r="B29" s="21"/>
      <c r="C29" s="338" t="s">
        <v>1285</v>
      </c>
      <c r="D29" s="430" t="str">
        <f>VLOOKUP(C29,'Sales Master'!B$3:D$644,2,0)</f>
        <v>CORN CREAM 玉米浆</v>
      </c>
      <c r="E29" s="430"/>
      <c r="F29" s="430"/>
      <c r="G29" s="99">
        <v>1</v>
      </c>
      <c r="H29" s="241" t="str">
        <f>VLOOKUP(C29,'Sales Master'!B$3:F$936,5,0)</f>
        <v>24 CAN/CARTON</v>
      </c>
      <c r="I29" s="432" t="str">
        <f>VLOOKUP(C29,'Sales Master'!B$3:E$936,4,0)</f>
        <v>GOLDEN BOY</v>
      </c>
      <c r="J29" s="432"/>
      <c r="K29" s="22">
        <f>VLOOKUP(C29,'Sales Master'!B$3:AB$936,27,0)</f>
        <v>25</v>
      </c>
      <c r="L29" s="23">
        <f t="shared" si="6"/>
        <v>25</v>
      </c>
      <c r="N29" s="247">
        <f>VLOOKUP(C29,'Sales Master'!$B$3:$FA$3051,156,0)</f>
        <v>19</v>
      </c>
      <c r="O29" s="247">
        <f t="shared" si="7"/>
        <v>6</v>
      </c>
      <c r="P29" s="247">
        <f t="shared" si="8"/>
        <v>6</v>
      </c>
    </row>
    <row r="30" spans="2:16" ht="20.149999999999999" customHeight="1" x14ac:dyDescent="0.45">
      <c r="B30" s="21"/>
      <c r="C30" s="338"/>
      <c r="D30" s="430"/>
      <c r="E30" s="430"/>
      <c r="F30" s="430"/>
      <c r="G30" s="99"/>
      <c r="H30" s="241"/>
      <c r="I30" s="432"/>
      <c r="J30" s="432"/>
      <c r="K30" s="22"/>
      <c r="L30" s="23"/>
      <c r="N30" s="247"/>
      <c r="O30" s="247"/>
      <c r="P30" s="247"/>
    </row>
    <row r="31" spans="2:16" ht="20.149999999999999" customHeight="1" x14ac:dyDescent="0.45">
      <c r="B31" s="21"/>
      <c r="C31" s="338"/>
      <c r="D31" s="430"/>
      <c r="E31" s="430"/>
      <c r="F31" s="430"/>
      <c r="G31" s="99"/>
      <c r="H31" s="241"/>
      <c r="I31" s="432"/>
      <c r="J31" s="432"/>
      <c r="K31" s="22"/>
      <c r="L31" s="23"/>
      <c r="N31" s="247"/>
      <c r="O31" s="247"/>
      <c r="P31" s="247"/>
    </row>
    <row r="32" spans="2:16" ht="20.149999999999999" customHeight="1" x14ac:dyDescent="0.45">
      <c r="B32" s="21"/>
      <c r="C32" s="338"/>
      <c r="D32" s="430"/>
      <c r="E32" s="430"/>
      <c r="F32" s="430"/>
      <c r="G32" s="99"/>
      <c r="H32" s="241"/>
      <c r="I32" s="432"/>
      <c r="J32" s="432"/>
      <c r="K32" s="22"/>
      <c r="L32" s="23"/>
      <c r="N32" s="247"/>
      <c r="O32" s="247"/>
      <c r="P32" s="247"/>
    </row>
    <row r="33" spans="2:16" ht="20.149999999999999" customHeight="1" x14ac:dyDescent="0.45">
      <c r="B33" s="21"/>
      <c r="C33" s="338"/>
      <c r="D33" s="430"/>
      <c r="E33" s="430"/>
      <c r="F33" s="430"/>
      <c r="G33" s="99"/>
      <c r="H33" s="241"/>
      <c r="I33" s="432"/>
      <c r="J33" s="432"/>
      <c r="K33" s="22"/>
      <c r="L33" s="23"/>
      <c r="N33" s="247"/>
      <c r="O33" s="247"/>
      <c r="P33" s="247"/>
    </row>
    <row r="34" spans="2:16" ht="20.149999999999999" customHeight="1" x14ac:dyDescent="0.45">
      <c r="B34" s="21"/>
      <c r="C34" s="338"/>
      <c r="D34" s="430"/>
      <c r="E34" s="430"/>
      <c r="F34" s="430"/>
      <c r="G34" s="99"/>
      <c r="H34" s="241"/>
      <c r="I34" s="432"/>
      <c r="J34" s="432"/>
      <c r="K34" s="22"/>
      <c r="L34" s="23"/>
      <c r="N34" s="247"/>
      <c r="O34" s="247"/>
      <c r="P34" s="247"/>
    </row>
    <row r="35" spans="2:16" ht="20.149999999999999" customHeight="1" x14ac:dyDescent="0.45">
      <c r="B35" s="21"/>
      <c r="C35" s="338"/>
      <c r="D35" s="430"/>
      <c r="E35" s="430"/>
      <c r="F35" s="430"/>
      <c r="G35" s="99"/>
      <c r="H35" s="241"/>
      <c r="I35" s="432"/>
      <c r="J35" s="432"/>
      <c r="K35" s="22"/>
      <c r="L35" s="23"/>
      <c r="N35" s="247"/>
      <c r="O35" s="247"/>
      <c r="P35" s="247"/>
    </row>
    <row r="36" spans="2:16" ht="20.149999999999999" customHeight="1" x14ac:dyDescent="0.45">
      <c r="B36" s="21"/>
      <c r="C36" s="338"/>
      <c r="D36" s="430"/>
      <c r="E36" s="430"/>
      <c r="F36" s="430"/>
      <c r="G36" s="99"/>
      <c r="H36" s="241"/>
      <c r="I36" s="432"/>
      <c r="J36" s="432"/>
      <c r="K36" s="22"/>
      <c r="L36" s="23"/>
      <c r="N36" s="247"/>
      <c r="O36" s="247"/>
      <c r="P36" s="247"/>
    </row>
    <row r="37" spans="2:16" ht="20.149999999999999" customHeight="1" x14ac:dyDescent="0.45">
      <c r="B37" s="21"/>
      <c r="C37" s="338"/>
      <c r="D37" s="69"/>
      <c r="E37" s="69"/>
      <c r="F37" s="69"/>
      <c r="G37" s="99"/>
      <c r="H37" s="241"/>
      <c r="I37" s="322"/>
      <c r="J37" s="322"/>
      <c r="K37" s="22"/>
      <c r="L37" s="23"/>
      <c r="N37" s="247"/>
      <c r="O37" s="247"/>
      <c r="P37" s="247"/>
    </row>
    <row r="38" spans="2:16" ht="20.149999999999999" customHeight="1" x14ac:dyDescent="0.45">
      <c r="B38" s="21"/>
      <c r="C38" s="305" t="s">
        <v>1742</v>
      </c>
      <c r="G38" s="233"/>
      <c r="H38" s="65"/>
      <c r="I38" s="65"/>
      <c r="J38" s="65"/>
      <c r="K38" s="22"/>
      <c r="L38" s="23"/>
      <c r="N38" s="247"/>
      <c r="O38" s="247"/>
      <c r="P38" s="247"/>
    </row>
    <row r="39" spans="2:16" ht="20.149999999999999" customHeight="1" x14ac:dyDescent="0.45">
      <c r="B39" s="21"/>
      <c r="C39" s="338" t="s">
        <v>915</v>
      </c>
      <c r="D39" s="430" t="str">
        <f>VLOOKUP(C39,'Sales Master'!B$3:D$644,2,0)</f>
        <v>Atap Seeds in Syrup 亚嗒子</v>
      </c>
      <c r="E39" s="430"/>
      <c r="F39" s="430"/>
      <c r="G39" s="233">
        <v>1</v>
      </c>
      <c r="H39" s="418" t="str">
        <f>VLOOKUP(C39,'Sales Master'!B$3:F$936,5,0)</f>
        <v>NW (2.1:0.9) 3 kgs</v>
      </c>
      <c r="I39" s="432" t="str">
        <f>VLOOKUP(C39,'Sales Master'!B$3:E$936,4,0)</f>
        <v>2P</v>
      </c>
      <c r="J39" s="432"/>
      <c r="K39" s="22">
        <v>12.5</v>
      </c>
      <c r="L39" s="23"/>
      <c r="N39" s="247"/>
      <c r="O39" s="247"/>
      <c r="P39" s="247"/>
    </row>
    <row r="40" spans="2:16" ht="20.149999999999999" customHeight="1" x14ac:dyDescent="0.45">
      <c r="B40" s="21"/>
      <c r="C40" s="45"/>
      <c r="D40" s="430"/>
      <c r="E40" s="430"/>
      <c r="F40" s="430"/>
      <c r="G40" s="99"/>
      <c r="H40" s="241"/>
      <c r="I40" s="432"/>
      <c r="J40" s="432"/>
      <c r="K40" s="22"/>
      <c r="L40" s="23"/>
    </row>
    <row r="41" spans="2:16" ht="20.149999999999999" customHeight="1" thickBot="1" x14ac:dyDescent="0.5">
      <c r="B41" s="24"/>
      <c r="C41" s="25"/>
      <c r="D41" s="473"/>
      <c r="E41" s="473"/>
      <c r="F41" s="473"/>
      <c r="G41" s="25"/>
      <c r="H41" s="66"/>
      <c r="I41" s="66"/>
      <c r="J41" s="66"/>
      <c r="K41" s="26"/>
      <c r="L41" s="27"/>
    </row>
    <row r="42" spans="2:16" ht="20.149999999999999" customHeight="1" thickBot="1" x14ac:dyDescent="0.5">
      <c r="B42" s="28"/>
      <c r="L42" s="29"/>
      <c r="N42" s="60" t="s">
        <v>1755</v>
      </c>
    </row>
    <row r="43" spans="2:16" ht="20.149999999999999" customHeight="1" x14ac:dyDescent="0.45">
      <c r="B43" s="11" t="s">
        <v>16</v>
      </c>
      <c r="C43" s="10"/>
      <c r="D43" s="10"/>
      <c r="E43" s="10"/>
      <c r="F43" s="10"/>
      <c r="G43" s="10"/>
      <c r="H43" s="10"/>
      <c r="I43" s="10"/>
      <c r="J43" s="474" t="s">
        <v>13</v>
      </c>
      <c r="K43" s="475"/>
      <c r="L43" s="30">
        <f>SUM(L17:L42)</f>
        <v>199</v>
      </c>
      <c r="M43" s="95">
        <f>SUM(P18:P41)-L43*0.02</f>
        <v>51.219333333333338</v>
      </c>
      <c r="N43" s="419">
        <f>M43-L44</f>
        <v>36.478592592592598</v>
      </c>
    </row>
    <row r="44" spans="2:16" ht="20.149999999999999" customHeight="1" x14ac:dyDescent="0.45">
      <c r="B44" s="11" t="s">
        <v>17</v>
      </c>
      <c r="C44" s="10"/>
      <c r="D44" s="10"/>
      <c r="E44" s="10"/>
      <c r="F44" s="10"/>
      <c r="G44" s="10"/>
      <c r="H44" s="10"/>
      <c r="I44" s="10"/>
      <c r="J44" s="110" t="s">
        <v>553</v>
      </c>
      <c r="K44" s="113">
        <v>6.54E-2</v>
      </c>
      <c r="L44" s="32">
        <f>L46</f>
        <v>14.740740740740742</v>
      </c>
    </row>
    <row r="45" spans="2:16" ht="20.149999999999999" customHeight="1" x14ac:dyDescent="0.45">
      <c r="B45" s="11" t="s">
        <v>18</v>
      </c>
      <c r="C45" s="10"/>
      <c r="D45" s="10"/>
      <c r="E45" s="10"/>
      <c r="F45" s="10"/>
      <c r="G45" s="10"/>
      <c r="H45" s="10"/>
      <c r="I45" s="10"/>
      <c r="J45" s="476" t="s">
        <v>555</v>
      </c>
      <c r="K45" s="477"/>
      <c r="L45" s="114">
        <f>L43/108*100</f>
        <v>184.25925925925927</v>
      </c>
    </row>
    <row r="46" spans="2:16" ht="20.149999999999999" customHeight="1" x14ac:dyDescent="0.45">
      <c r="B46" s="11" t="s">
        <v>22</v>
      </c>
      <c r="C46" s="10"/>
      <c r="D46" s="10"/>
      <c r="E46" s="10"/>
      <c r="F46" s="10"/>
      <c r="G46" s="10"/>
      <c r="H46" s="10"/>
      <c r="I46" s="10"/>
      <c r="J46" s="111" t="s">
        <v>554</v>
      </c>
      <c r="K46" s="112">
        <v>0.08</v>
      </c>
      <c r="L46" s="44">
        <f>L45*K46</f>
        <v>14.740740740740742</v>
      </c>
    </row>
    <row r="47" spans="2:16" ht="20.149999999999999" customHeight="1" thickBot="1" x14ac:dyDescent="0.5">
      <c r="B47" s="11" t="s">
        <v>748</v>
      </c>
      <c r="C47" s="10"/>
      <c r="D47" s="10"/>
      <c r="E47" s="10"/>
      <c r="F47" s="10"/>
      <c r="G47" s="10"/>
      <c r="H47" s="10"/>
      <c r="I47" s="10"/>
      <c r="J47" s="478" t="s">
        <v>21</v>
      </c>
      <c r="K47" s="479"/>
      <c r="L47" s="33">
        <f>L45+L46</f>
        <v>199</v>
      </c>
    </row>
    <row r="48" spans="2:16" ht="20.149999999999999" customHeight="1" x14ac:dyDescent="0.45">
      <c r="B48" s="11" t="s">
        <v>23</v>
      </c>
      <c r="C48" s="10"/>
      <c r="D48" s="10"/>
      <c r="E48" s="10"/>
      <c r="F48" s="10"/>
      <c r="G48" s="10"/>
      <c r="H48" s="10"/>
      <c r="I48" s="10"/>
      <c r="L48" s="29"/>
    </row>
    <row r="49" spans="2:12" ht="20.149999999999999" customHeight="1" x14ac:dyDescent="0.45">
      <c r="B49" s="183" t="s">
        <v>749</v>
      </c>
      <c r="L49" s="29"/>
    </row>
    <row r="50" spans="2:12" ht="20.149999999999999" customHeight="1" x14ac:dyDescent="0.45">
      <c r="B50" s="28"/>
      <c r="L50" s="29"/>
    </row>
    <row r="51" spans="2:12" ht="20.149999999999999" customHeight="1" x14ac:dyDescent="0.45">
      <c r="B51" s="28"/>
      <c r="L51" s="29"/>
    </row>
    <row r="52" spans="2:12" ht="20.149999999999999" customHeight="1" x14ac:dyDescent="0.45">
      <c r="B52" s="28"/>
      <c r="L52" s="29"/>
    </row>
    <row r="53" spans="2:12" ht="20.149999999999999" customHeight="1" x14ac:dyDescent="0.45">
      <c r="B53" s="34"/>
      <c r="C53" s="35"/>
      <c r="D53" s="35"/>
      <c r="J53" s="35"/>
      <c r="K53" s="35"/>
      <c r="L53" s="36"/>
    </row>
    <row r="54" spans="2:12" ht="20.149999999999999" customHeight="1" x14ac:dyDescent="0.45">
      <c r="B54" s="28" t="s">
        <v>24</v>
      </c>
      <c r="J54" s="60" t="s">
        <v>25</v>
      </c>
      <c r="L54" s="29"/>
    </row>
    <row r="55" spans="2:12" ht="19" thickBot="1" x14ac:dyDescent="0.5">
      <c r="B55" s="37"/>
      <c r="C55" s="62"/>
      <c r="D55" s="62"/>
      <c r="E55" s="62"/>
      <c r="F55" s="62"/>
      <c r="G55" s="62"/>
      <c r="H55" s="62"/>
      <c r="I55" s="62"/>
      <c r="J55" s="62"/>
      <c r="K55" s="62"/>
      <c r="L55" s="38"/>
    </row>
  </sheetData>
  <mergeCells count="60">
    <mergeCell ref="D32:F32"/>
    <mergeCell ref="I32:J32"/>
    <mergeCell ref="D33:F33"/>
    <mergeCell ref="I33:J33"/>
    <mergeCell ref="D34:F34"/>
    <mergeCell ref="I34:J34"/>
    <mergeCell ref="I25:J25"/>
    <mergeCell ref="I30:J30"/>
    <mergeCell ref="I23:J23"/>
    <mergeCell ref="I27:J27"/>
    <mergeCell ref="D31:F31"/>
    <mergeCell ref="I31:J31"/>
    <mergeCell ref="D28:F28"/>
    <mergeCell ref="I28:J28"/>
    <mergeCell ref="D20:F20"/>
    <mergeCell ref="I20:J20"/>
    <mergeCell ref="D21:F21"/>
    <mergeCell ref="D29:F29"/>
    <mergeCell ref="I21:J21"/>
    <mergeCell ref="I29:J29"/>
    <mergeCell ref="D25:F25"/>
    <mergeCell ref="D30:F30"/>
    <mergeCell ref="D24:F24"/>
    <mergeCell ref="I24:J24"/>
    <mergeCell ref="D22:F22"/>
    <mergeCell ref="I22:J22"/>
    <mergeCell ref="D23:F23"/>
    <mergeCell ref="D27:F27"/>
    <mergeCell ref="B15:D1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D26:F26"/>
    <mergeCell ref="I26:J26"/>
    <mergeCell ref="D17:F17"/>
    <mergeCell ref="I17:J17"/>
    <mergeCell ref="D18:F18"/>
    <mergeCell ref="I18:J18"/>
    <mergeCell ref="D19:F19"/>
    <mergeCell ref="I19:J19"/>
    <mergeCell ref="D35:F35"/>
    <mergeCell ref="I35:J35"/>
    <mergeCell ref="J47:K47"/>
    <mergeCell ref="D41:F41"/>
    <mergeCell ref="J43:K43"/>
    <mergeCell ref="J45:K45"/>
    <mergeCell ref="D39:F39"/>
    <mergeCell ref="I39:J39"/>
    <mergeCell ref="D40:F40"/>
    <mergeCell ref="I40:J40"/>
    <mergeCell ref="D36:F36"/>
    <mergeCell ref="I36:J36"/>
  </mergeCells>
  <conditionalFormatting sqref="C38">
    <cfRule type="duplicateValues" dxfId="67" priority="1"/>
  </conditionalFormatting>
  <conditionalFormatting sqref="C40">
    <cfRule type="duplicateValues" dxfId="66" priority="5"/>
  </conditionalFormatting>
  <printOptions horizontalCentered="1"/>
  <pageMargins left="0.74803149606299202" right="0" top="0.511811023622047" bottom="0.23622047244094499" header="0.31496062992126" footer="0.31496062992126"/>
  <pageSetup paperSize="9" scale="72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FE217-D2CF-4550-B63D-E7AF76D8E867}">
  <sheetPr codeName="Sheet51">
    <tabColor rgb="FF7030A0"/>
    <pageSetUpPr fitToPage="1"/>
  </sheetPr>
  <dimension ref="B1:P46"/>
  <sheetViews>
    <sheetView topLeftCell="A22" zoomScaleNormal="100" workbookViewId="0">
      <selection activeCell="C25" sqref="C25:K2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6.17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459</v>
      </c>
      <c r="J10" s="17" t="s">
        <v>26</v>
      </c>
      <c r="K10" s="455">
        <v>202203490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Richton Café Pte Ltd                            Blk 476A Pasis Ris Drive 6,                                    #01-600. Singapore 510476</v>
      </c>
      <c r="G11" s="445"/>
      <c r="H11" s="446"/>
      <c r="J11" s="18" t="s">
        <v>9</v>
      </c>
      <c r="K11" s="502" t="s">
        <v>1278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1044</v>
      </c>
      <c r="D18" s="430" t="str">
        <f>VLOOKUP(C18,'Sales Master'!B$3:D$457,2,0)</f>
        <v>Carnation Milk 三花淡奶水</v>
      </c>
      <c r="E18" s="430"/>
      <c r="F18" s="430"/>
      <c r="G18" s="45">
        <v>2</v>
      </c>
      <c r="H18" s="65" t="str">
        <f>VLOOKUP(C18,'Sales Master'!B$3:F$936,5,0)</f>
        <v>405 gm x48 can/Ctn</v>
      </c>
      <c r="I18" s="431" t="str">
        <f>VLOOKUP(C18,'Sales Master'!B$3:E$936,4,0)</f>
        <v>Threeflower</v>
      </c>
      <c r="J18" s="431"/>
      <c r="K18" s="96">
        <f>VLOOKUP(C18,'Sales Master'!B$3:BO$527,66,0)</f>
        <v>60</v>
      </c>
      <c r="L18" s="98">
        <f>K18*G18</f>
        <v>120</v>
      </c>
      <c r="N18" s="247">
        <f>VLOOKUP(C18,'Sales Master'!$B$3:$FA$3051,156,0)</f>
        <v>52</v>
      </c>
      <c r="O18" s="247">
        <f>K18-N18</f>
        <v>8</v>
      </c>
      <c r="P18" s="247">
        <f>O18*G18</f>
        <v>16</v>
      </c>
    </row>
    <row r="19" spans="2:16" ht="20.149999999999999" customHeight="1" x14ac:dyDescent="0.45">
      <c r="B19" s="21"/>
      <c r="C19" s="45" t="s">
        <v>1058</v>
      </c>
      <c r="D19" s="430" t="str">
        <f>VLOOKUP(C19,'Sales Master'!B$3:D$457,2,0)</f>
        <v>Baked Beans 茄汁豆</v>
      </c>
      <c r="E19" s="430"/>
      <c r="F19" s="430"/>
      <c r="G19" s="45">
        <v>2</v>
      </c>
      <c r="H19" s="65" t="str">
        <f>VLOOKUP(C19,'Sales Master'!B$3:F$936,5,0)</f>
        <v>(425gm x 24)/箱</v>
      </c>
      <c r="I19" s="431" t="str">
        <f>VLOOKUP(C19,'Sales Master'!B$3:E$936,4,0)</f>
        <v>Statue</v>
      </c>
      <c r="J19" s="431"/>
      <c r="K19" s="96">
        <f>VLOOKUP(C19,'Sales Master'!B$3:BO$527,66,0)</f>
        <v>21.5</v>
      </c>
      <c r="L19" s="98">
        <f>K19*G19</f>
        <v>43</v>
      </c>
      <c r="N19" s="247">
        <f>VLOOKUP(C19,'Sales Master'!$B$3:$FA$3051,156,0)</f>
        <v>16</v>
      </c>
      <c r="O19" s="247">
        <f>K19-N19</f>
        <v>5.5</v>
      </c>
      <c r="P19" s="247">
        <f>O19*G19</f>
        <v>11</v>
      </c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96"/>
      <c r="L20" s="98"/>
    </row>
    <row r="21" spans="2:16" ht="20.149999999999999" customHeight="1" x14ac:dyDescent="0.45">
      <c r="B21" s="70"/>
      <c r="C21" s="45"/>
      <c r="D21" s="430"/>
      <c r="E21" s="430"/>
      <c r="F21" s="430"/>
      <c r="G21" s="45"/>
      <c r="H21" s="65"/>
      <c r="I21" s="431"/>
      <c r="J21" s="431"/>
      <c r="K21" s="96"/>
      <c r="L21" s="98"/>
    </row>
    <row r="22" spans="2:16" ht="20.149999999999999" customHeight="1" x14ac:dyDescent="0.45">
      <c r="B22" s="70"/>
      <c r="C22" s="45"/>
      <c r="D22" s="430"/>
      <c r="E22" s="430"/>
      <c r="F22" s="430"/>
      <c r="G22" s="45"/>
      <c r="H22" s="65"/>
      <c r="I22" s="431"/>
      <c r="J22" s="431"/>
      <c r="K22" s="96"/>
      <c r="L22" s="98"/>
    </row>
    <row r="23" spans="2:16" ht="20.149999999999999" customHeight="1" x14ac:dyDescent="0.45">
      <c r="B23" s="70"/>
      <c r="C23" s="45"/>
      <c r="D23" s="430"/>
      <c r="E23" s="430"/>
      <c r="F23" s="430"/>
      <c r="G23" s="45"/>
      <c r="H23" s="65"/>
      <c r="I23" s="431"/>
      <c r="J23" s="431"/>
      <c r="K23" s="96"/>
      <c r="L23" s="98"/>
    </row>
    <row r="24" spans="2:16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96"/>
      <c r="L24" s="98"/>
    </row>
    <row r="25" spans="2:16" ht="20.149999999999999" customHeight="1" x14ac:dyDescent="0.45">
      <c r="B25" s="21"/>
      <c r="C25" s="437" t="s">
        <v>1220</v>
      </c>
      <c r="D25" s="437"/>
      <c r="E25" s="437"/>
      <c r="F25" s="437"/>
      <c r="G25" s="437"/>
      <c r="H25" s="65"/>
      <c r="I25" s="431"/>
      <c r="J25" s="431"/>
      <c r="K25" s="96"/>
      <c r="L25" s="98"/>
    </row>
    <row r="26" spans="2:16" ht="20.149999999999999" customHeight="1" x14ac:dyDescent="0.45">
      <c r="B26" s="21"/>
      <c r="C26" s="45" t="s">
        <v>1046</v>
      </c>
      <c r="D26" s="430" t="str">
        <f>VLOOKUP(C26,'Sales Master'!B$3:D$457,2,0)</f>
        <v>Evaporated Creamer 淡奶水</v>
      </c>
      <c r="E26" s="430"/>
      <c r="F26" s="430"/>
      <c r="G26" s="45">
        <v>1</v>
      </c>
      <c r="H26" s="65" t="str">
        <f>VLOOKUP(C26,'Sales Master'!B$3:F$936,5,0)</f>
        <v>48 can/Ctn</v>
      </c>
      <c r="I26" s="431" t="str">
        <f>VLOOKUP(C26,'Sales Master'!B$3:E$936,4,0)</f>
        <v>Marigold</v>
      </c>
      <c r="J26" s="431"/>
      <c r="K26" s="96">
        <v>52.5</v>
      </c>
      <c r="L26" s="23"/>
    </row>
    <row r="27" spans="2:16" ht="20.149999999999999" customHeight="1" x14ac:dyDescent="0.45">
      <c r="B27" s="21"/>
      <c r="C27" s="45" t="s">
        <v>1044</v>
      </c>
      <c r="D27" s="430" t="str">
        <f>VLOOKUP(C27,'Sales Master'!B$3:D$457,2,0)</f>
        <v>Carnation Milk 三花淡奶水</v>
      </c>
      <c r="E27" s="430"/>
      <c r="F27" s="430"/>
      <c r="G27" s="45">
        <v>1</v>
      </c>
      <c r="H27" s="65" t="str">
        <f>VLOOKUP(C27,'Sales Master'!B$3:F$936,5,0)</f>
        <v>405 gm x48 can/Ctn</v>
      </c>
      <c r="I27" s="431" t="str">
        <f>VLOOKUP(C27,'Sales Master'!B$3:E$936,4,0)</f>
        <v>Threeflower</v>
      </c>
      <c r="J27" s="431"/>
      <c r="K27" s="96">
        <v>60</v>
      </c>
      <c r="L27" s="23"/>
    </row>
    <row r="28" spans="2:16" ht="20.149999999999999" customHeight="1" x14ac:dyDescent="0.45">
      <c r="B28" s="21"/>
      <c r="C28" s="45" t="s">
        <v>1058</v>
      </c>
      <c r="D28" s="430" t="str">
        <f>VLOOKUP(C28,'Sales Master'!B$3:D$457,2,0)</f>
        <v>Baked Beans 茄汁豆</v>
      </c>
      <c r="E28" s="430"/>
      <c r="F28" s="430"/>
      <c r="G28" s="45">
        <v>1</v>
      </c>
      <c r="H28" s="65" t="str">
        <f>VLOOKUP(C28,'Sales Master'!B$3:F$936,5,0)</f>
        <v>(425gm x 24)/箱</v>
      </c>
      <c r="I28" s="431" t="str">
        <f>VLOOKUP(C28,'Sales Master'!B$3:E$936,4,0)</f>
        <v>Statue</v>
      </c>
      <c r="J28" s="431"/>
      <c r="K28" s="96">
        <v>21.5</v>
      </c>
      <c r="L28" s="98"/>
    </row>
    <row r="29" spans="2:16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SUM(L15:L30)</f>
        <v>163</v>
      </c>
      <c r="M31" s="95">
        <f>SUM(P11:P29)-L31*0.02</f>
        <v>23.74</v>
      </c>
      <c r="N31" s="95">
        <f>M31/L31</f>
        <v>0.1456441717791411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L34</f>
        <v>12.074074074074074</v>
      </c>
    </row>
    <row r="33" spans="2:13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L31/108*100</f>
        <v>150.92592592592592</v>
      </c>
      <c r="M33" s="95"/>
    </row>
    <row r="34" spans="2:13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0.08</v>
      </c>
      <c r="L34" s="44">
        <f>L33*K34</f>
        <v>12.074074074074074</v>
      </c>
    </row>
    <row r="35" spans="2:13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163</v>
      </c>
    </row>
    <row r="36" spans="2:13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3" ht="20.149999999999999" customHeight="1" x14ac:dyDescent="0.45">
      <c r="B37" s="183" t="s">
        <v>749</v>
      </c>
      <c r="L37" s="29"/>
    </row>
    <row r="38" spans="2:13" ht="20.149999999999999" customHeight="1" x14ac:dyDescent="0.45">
      <c r="B38" s="28"/>
      <c r="L38" s="29"/>
    </row>
    <row r="39" spans="2:13" ht="20.149999999999999" customHeight="1" x14ac:dyDescent="0.45">
      <c r="B39" s="28"/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34"/>
      <c r="C41" s="35"/>
      <c r="D41" s="35"/>
      <c r="J41" s="35"/>
      <c r="K41" s="35"/>
      <c r="L41" s="36"/>
    </row>
    <row r="42" spans="2:13" ht="20.149999999999999" customHeight="1" x14ac:dyDescent="0.45">
      <c r="B42" s="28" t="s">
        <v>24</v>
      </c>
      <c r="J42" s="60" t="s">
        <v>25</v>
      </c>
      <c r="L42" s="29"/>
    </row>
    <row r="43" spans="2:13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  <row r="46" spans="2:13" x14ac:dyDescent="0.45">
      <c r="C46" s="172" t="s">
        <v>627</v>
      </c>
    </row>
  </sheetData>
  <mergeCells count="41">
    <mergeCell ref="D17:F17"/>
    <mergeCell ref="I17:J17"/>
    <mergeCell ref="D22:F22"/>
    <mergeCell ref="I18:J18"/>
    <mergeCell ref="D18:F18"/>
    <mergeCell ref="D19:F19"/>
    <mergeCell ref="I19:J19"/>
    <mergeCell ref="D20:F20"/>
    <mergeCell ref="I20:J20"/>
    <mergeCell ref="D21:F21"/>
    <mergeCell ref="I21:J21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35:K35"/>
    <mergeCell ref="D26:F26"/>
    <mergeCell ref="D27:F27"/>
    <mergeCell ref="D29:F29"/>
    <mergeCell ref="J31:K31"/>
    <mergeCell ref="J33:K33"/>
    <mergeCell ref="I26:J26"/>
    <mergeCell ref="I27:J27"/>
    <mergeCell ref="I28:J28"/>
    <mergeCell ref="D28:F28"/>
    <mergeCell ref="D24:F24"/>
    <mergeCell ref="I24:J24"/>
    <mergeCell ref="I25:J25"/>
    <mergeCell ref="D23:F23"/>
    <mergeCell ref="I23:J23"/>
    <mergeCell ref="C25:G25"/>
  </mergeCells>
  <pageMargins left="0.70866141732283505" right="0.31496062992126" top="0.55118110236220497" bottom="0" header="0.31496062992126" footer="0.31496062992126"/>
  <pageSetup paperSize="9" scale="74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1CAC2-2D12-4890-99DE-2E880EBBAB64}">
  <sheetPr codeName="Sheet92">
    <tabColor rgb="FF7030A0"/>
    <pageSetUpPr fitToPage="1"/>
  </sheetPr>
  <dimension ref="B1:P41"/>
  <sheetViews>
    <sheetView topLeftCell="B20" zoomScaleNormal="100" workbookViewId="0">
      <selection activeCell="N30" sqref="N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435</v>
      </c>
      <c r="J10" s="17" t="s">
        <v>26</v>
      </c>
      <c r="K10" s="455">
        <v>202308616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Sugarcane Juice ICE Blended Drinks   Changi Village Hawker Centre,           2 Changi Village Road #01-16, Singapore 500002</v>
      </c>
      <c r="G11" s="445"/>
      <c r="H11" s="446"/>
      <c r="J11" s="18" t="s">
        <v>9</v>
      </c>
      <c r="K11" s="460">
        <v>45164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968</v>
      </c>
      <c r="D18" s="430" t="str">
        <f>VLOOKUP(C18,'Sales Master'!B$3:D$644,2,0)</f>
        <v>Dried Longan 龙眼干</v>
      </c>
      <c r="E18" s="430"/>
      <c r="F18" s="430"/>
      <c r="G18" s="45">
        <v>5</v>
      </c>
      <c r="H18" s="65" t="str">
        <f>VLOOKUP(C18,'Sales Master'!B$3:F$936,5,0)</f>
        <v>1 kg</v>
      </c>
      <c r="I18" s="431" t="str">
        <f>VLOOKUP(C18,'Sales Master'!B$3:E$936,4,0)</f>
        <v>AAA</v>
      </c>
      <c r="J18" s="431"/>
      <c r="K18" s="22">
        <f>VLOOKUP(C18,'Sales Master'!B$3:AG$527,32,0)</f>
        <v>13</v>
      </c>
      <c r="L18" s="71">
        <f>K18*G18</f>
        <v>65</v>
      </c>
      <c r="N18" s="247">
        <f>VLOOKUP(C18,'Sales Master'!$B$3:$FA$3051,156,0)</f>
        <v>8.8000000000000007</v>
      </c>
      <c r="O18" s="247">
        <f>K18-N18</f>
        <v>4.1999999999999993</v>
      </c>
      <c r="P18" s="247">
        <f>O18*G18</f>
        <v>20.999999999999996</v>
      </c>
    </row>
    <row r="19" spans="2:16" ht="20.149999999999999" customHeight="1" x14ac:dyDescent="0.45">
      <c r="B19" s="21"/>
      <c r="C19" s="338" t="s">
        <v>1112</v>
      </c>
      <c r="D19" s="430" t="str">
        <f>VLOOKUP(C19,'Sales Master'!B$3:D$644,2,0)</f>
        <v>Food Coloring 颜色水</v>
      </c>
      <c r="E19" s="430"/>
      <c r="F19" s="430"/>
      <c r="G19" s="45">
        <v>1</v>
      </c>
      <c r="H19" s="65" t="str">
        <f>VLOOKUP(C19,'Sales Master'!B$3:F$936,5,0)</f>
        <v>5 lt</v>
      </c>
      <c r="I19" s="431" t="str">
        <f>VLOOKUP(C19,'Sales Master'!B$3:E$936,4,0)</f>
        <v>Black/黑</v>
      </c>
      <c r="J19" s="431"/>
      <c r="K19" s="22">
        <f>VLOOKUP(C19,'Sales Master'!B$3:AG$527,32,0)</f>
        <v>32</v>
      </c>
      <c r="L19" s="71">
        <f>K19*G19</f>
        <v>32</v>
      </c>
      <c r="N19" s="247">
        <f>VLOOKUP(C19,'Sales Master'!$B$3:$FA$3051,156,0)</f>
        <v>24.3</v>
      </c>
      <c r="O19" s="247">
        <f>K19-N19</f>
        <v>7.6999999999999993</v>
      </c>
      <c r="P19" s="247">
        <f>O19*G19</f>
        <v>7.6999999999999993</v>
      </c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6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6" ht="20.149999999999999" customHeight="1" x14ac:dyDescent="0.45">
      <c r="B22" s="21"/>
      <c r="C22" s="354" t="s">
        <v>1485</v>
      </c>
      <c r="D22" s="12"/>
      <c r="E22" s="12"/>
      <c r="F22" s="12"/>
      <c r="G22" s="12"/>
      <c r="H22" s="65"/>
      <c r="I22" s="431"/>
      <c r="J22" s="431"/>
      <c r="K22" s="22"/>
      <c r="L22" s="71"/>
    </row>
    <row r="23" spans="2:16" ht="20.149999999999999" customHeight="1" x14ac:dyDescent="0.45">
      <c r="B23" s="70"/>
      <c r="C23" s="338" t="s">
        <v>1112</v>
      </c>
      <c r="D23" s="430" t="str">
        <f>VLOOKUP(C23,'Sales Master'!B$3:D$644,2,0)</f>
        <v>Food Coloring 颜色水</v>
      </c>
      <c r="E23" s="430"/>
      <c r="F23" s="430"/>
      <c r="G23" s="45">
        <v>1</v>
      </c>
      <c r="H23" s="65" t="str">
        <f>VLOOKUP(C23,'Sales Master'!B$3:F$936,5,0)</f>
        <v>5 lt</v>
      </c>
      <c r="I23" s="431" t="str">
        <f>VLOOKUP(C23,'Sales Master'!B$3:E$936,4,0)</f>
        <v>Black/黑</v>
      </c>
      <c r="J23" s="431"/>
      <c r="K23" s="22">
        <v>32</v>
      </c>
      <c r="L23" s="71"/>
    </row>
    <row r="24" spans="2:16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22"/>
      <c r="L24" s="23"/>
    </row>
    <row r="25" spans="2:16" ht="20.149999999999999" customHeight="1" x14ac:dyDescent="0.45">
      <c r="B25" s="21"/>
      <c r="C25" s="45"/>
      <c r="D25" s="430"/>
      <c r="E25" s="430"/>
      <c r="F25" s="430"/>
      <c r="G25" s="45"/>
      <c r="H25" s="65"/>
      <c r="I25" s="431"/>
      <c r="J25" s="431"/>
      <c r="K25" s="22"/>
      <c r="L25" s="23"/>
    </row>
    <row r="26" spans="2:16" ht="20.149999999999999" customHeight="1" x14ac:dyDescent="0.45">
      <c r="B26" s="21"/>
      <c r="C26" s="45"/>
      <c r="D26" s="503"/>
      <c r="E26" s="503"/>
      <c r="F26" s="503"/>
      <c r="G26" s="45"/>
      <c r="H26" s="65"/>
      <c r="I26" s="65"/>
      <c r="J26" s="65"/>
      <c r="K26" s="22"/>
      <c r="L26" s="23"/>
    </row>
    <row r="27" spans="2:16" ht="20.149999999999999" customHeight="1" thickBot="1" x14ac:dyDescent="0.5">
      <c r="B27" s="24"/>
      <c r="C27" s="25"/>
      <c r="D27" s="473"/>
      <c r="E27" s="473"/>
      <c r="F27" s="473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474" t="s">
        <v>13</v>
      </c>
      <c r="K29" s="475"/>
      <c r="L29" s="30">
        <f>SUM(L16:L28)</f>
        <v>97</v>
      </c>
      <c r="M29" s="95">
        <f>SUM(P3:P27)-L29*0.02</f>
        <v>26.759999999999994</v>
      </c>
      <c r="N29" s="405">
        <f>M29-L30</f>
        <v>19.574814814814808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110" t="s">
        <v>553</v>
      </c>
      <c r="K30" s="113">
        <v>6.54E-2</v>
      </c>
      <c r="L30" s="32">
        <f>L32</f>
        <v>7.1851851851851851</v>
      </c>
    </row>
    <row r="31" spans="2:16" ht="20.149999999999999" customHeight="1" x14ac:dyDescent="0.45">
      <c r="B31" s="11" t="s">
        <v>18</v>
      </c>
      <c r="C31" s="10"/>
      <c r="D31" s="10"/>
      <c r="E31" s="10"/>
      <c r="F31" s="10"/>
      <c r="G31" s="10"/>
      <c r="H31" s="10"/>
      <c r="I31" s="10"/>
      <c r="J31" s="476" t="s">
        <v>555</v>
      </c>
      <c r="K31" s="477"/>
      <c r="L31" s="114">
        <f>L29/108*100</f>
        <v>89.81481481481481</v>
      </c>
    </row>
    <row r="32" spans="2:16" ht="20.149999999999999" customHeight="1" x14ac:dyDescent="0.45">
      <c r="B32" s="11" t="s">
        <v>22</v>
      </c>
      <c r="C32" s="10"/>
      <c r="D32" s="10"/>
      <c r="E32" s="10"/>
      <c r="F32" s="10"/>
      <c r="G32" s="10"/>
      <c r="H32" s="10"/>
      <c r="I32" s="10"/>
      <c r="J32" s="111" t="s">
        <v>554</v>
      </c>
      <c r="K32" s="112">
        <v>0.08</v>
      </c>
      <c r="L32" s="44">
        <f>L31*K32</f>
        <v>7.1851851851851851</v>
      </c>
    </row>
    <row r="33" spans="2:12" ht="20.149999999999999" customHeight="1" thickBot="1" x14ac:dyDescent="0.5">
      <c r="B33" s="11" t="s">
        <v>748</v>
      </c>
      <c r="C33" s="10"/>
      <c r="D33" s="10"/>
      <c r="E33" s="10"/>
      <c r="F33" s="10"/>
      <c r="G33" s="10"/>
      <c r="H33" s="10"/>
      <c r="I33" s="10"/>
      <c r="J33" s="478" t="s">
        <v>21</v>
      </c>
      <c r="K33" s="479"/>
      <c r="L33" s="33">
        <f>L31+L32</f>
        <v>97</v>
      </c>
    </row>
    <row r="34" spans="2:12" ht="20.149999999999999" customHeight="1" x14ac:dyDescent="0.45">
      <c r="B34" s="11" t="s">
        <v>23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83" t="s">
        <v>749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24</v>
      </c>
      <c r="J40" s="60" t="s">
        <v>25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5">
    <mergeCell ref="I23:J23"/>
    <mergeCell ref="D24:F24"/>
    <mergeCell ref="J33:K33"/>
    <mergeCell ref="D25:F25"/>
    <mergeCell ref="D26:F26"/>
    <mergeCell ref="D27:F27"/>
    <mergeCell ref="J29:K29"/>
    <mergeCell ref="J31:K31"/>
    <mergeCell ref="I24:J24"/>
    <mergeCell ref="I25:J25"/>
    <mergeCell ref="D23:F23"/>
    <mergeCell ref="D20:F20"/>
    <mergeCell ref="I20:J20"/>
    <mergeCell ref="D21:F21"/>
    <mergeCell ref="I21:J21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9DFA3-7EEC-4F0F-99D0-66F38F3235A6}">
  <sheetPr codeName="Sheet68">
    <tabColor rgb="FF7030A0"/>
    <pageSetUpPr fitToPage="1"/>
  </sheetPr>
  <dimension ref="B1:P42"/>
  <sheetViews>
    <sheetView topLeftCell="B12" zoomScaleNormal="100" workbookViewId="0">
      <selection activeCell="K20" sqref="K2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3.26953125" style="60" customWidth="1"/>
    <col min="12" max="13" width="12.54296875" style="60"/>
    <col min="14" max="14" width="14.453125" style="60" bestFit="1" customWidth="1"/>
    <col min="15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503</v>
      </c>
      <c r="J10" s="17" t="s">
        <v>26</v>
      </c>
      <c r="K10" s="455">
        <v>202209127</v>
      </c>
      <c r="L10" s="456"/>
      <c r="M10" s="60" t="s">
        <v>1352</v>
      </c>
    </row>
    <row r="11" spans="2:14" ht="20.149999999999999" customHeight="1" x14ac:dyDescent="0.45">
      <c r="B11" s="480" t="s">
        <v>1338</v>
      </c>
      <c r="C11" s="481"/>
      <c r="D11" s="482"/>
      <c r="E11" s="61"/>
      <c r="F11" s="444" t="str">
        <f>VLOOKUP(H10,'Delivery Location'!A$4:N$423,2,0)</f>
        <v>SH Cafe                                                         38A Margaret Drive #02-40 Singapore 142038</v>
      </c>
      <c r="G11" s="445"/>
      <c r="H11" s="446"/>
      <c r="J11" s="18" t="s">
        <v>9</v>
      </c>
      <c r="K11" s="460">
        <v>44812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  <c r="N15" s="69" t="s">
        <v>609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1048</v>
      </c>
      <c r="D18" s="430" t="str">
        <f>VLOOKUP(C18,'Sales Master'!B$3:D$644,2,0)</f>
        <v>Sweetened Creamer 练奶</v>
      </c>
      <c r="E18" s="430"/>
      <c r="F18" s="430"/>
      <c r="G18" s="45">
        <v>2</v>
      </c>
      <c r="H18" s="241" t="str">
        <f>VLOOKUP(C18,'Sales Master'!B$3:F$936,5,0)</f>
        <v>380 gm x 48 can/Ctn</v>
      </c>
      <c r="I18" s="432" t="str">
        <f>VLOOKUP(C18,'Sales Master'!B$3:E$936,4,0)</f>
        <v>Dawn牛</v>
      </c>
      <c r="J18" s="432"/>
      <c r="K18" s="22">
        <f>VLOOKUP(C18,'Sales Master'!B$3:AK$527,36,0)</f>
        <v>50</v>
      </c>
      <c r="L18" s="120">
        <f>K18*G18</f>
        <v>100</v>
      </c>
      <c r="N18" s="247">
        <f>VLOOKUP(C18,'Sales Master'!$B$3:$FA$3051,156,0)</f>
        <v>39</v>
      </c>
      <c r="O18" s="247">
        <f>K18-N18</f>
        <v>11</v>
      </c>
      <c r="P18" s="247">
        <f>O18*G18</f>
        <v>22</v>
      </c>
    </row>
    <row r="19" spans="2:16" ht="20.149999999999999" customHeight="1" x14ac:dyDescent="0.45">
      <c r="B19" s="21"/>
      <c r="C19" s="262" t="s">
        <v>1044</v>
      </c>
      <c r="D19" s="430" t="str">
        <f>VLOOKUP(C19,'Sales Master'!B$3:D$644,2,0)</f>
        <v>Carnation Milk 三花淡奶水</v>
      </c>
      <c r="E19" s="430"/>
      <c r="F19" s="430"/>
      <c r="G19" s="45">
        <v>3</v>
      </c>
      <c r="H19" s="241" t="str">
        <f>VLOOKUP(C19,'Sales Master'!B$3:F$936,5,0)</f>
        <v>405 gm x48 can/Ctn</v>
      </c>
      <c r="I19" s="432" t="str">
        <f>VLOOKUP(C19,'Sales Master'!B$3:E$936,4,0)</f>
        <v>Threeflower</v>
      </c>
      <c r="J19" s="432"/>
      <c r="K19" s="22">
        <f>VLOOKUP(C19,'Sales Master'!B$3:AK$527,36,0)</f>
        <v>60</v>
      </c>
      <c r="L19" s="120">
        <f>K19*G19</f>
        <v>180</v>
      </c>
      <c r="N19" s="247">
        <f>VLOOKUP(C19,'Sales Master'!$B$3:$FA$3051,156,0)</f>
        <v>52</v>
      </c>
      <c r="O19" s="247">
        <f>K19-N19</f>
        <v>8</v>
      </c>
      <c r="P19" s="247">
        <f>O19*G19</f>
        <v>24</v>
      </c>
    </row>
    <row r="20" spans="2:16" ht="20.149999999999999" customHeight="1" x14ac:dyDescent="0.45">
      <c r="B20" s="21"/>
      <c r="C20" s="45" t="s">
        <v>1080</v>
      </c>
      <c r="D20" s="430" t="str">
        <f>VLOOKUP(C20,'Sales Master'!B$3:D$644,2,0)</f>
        <v>Fine Sugar 白糖</v>
      </c>
      <c r="E20" s="430"/>
      <c r="F20" s="430"/>
      <c r="G20" s="45">
        <v>1</v>
      </c>
      <c r="H20" s="241" t="str">
        <f>VLOOKUP(C20,'Sales Master'!B$3:F$936,5,0)</f>
        <v>25 KGS</v>
      </c>
      <c r="I20" s="432" t="str">
        <f>VLOOKUP(C20,'Sales Master'!B$3:E$936,4,0)</f>
        <v>MITR PHOL</v>
      </c>
      <c r="J20" s="432"/>
      <c r="K20" s="22">
        <f>VLOOKUP(C20,'Sales Master'!B$3:AK$527,36,0)</f>
        <v>33</v>
      </c>
      <c r="L20" s="120">
        <f>K20*G20</f>
        <v>33</v>
      </c>
      <c r="N20" s="247">
        <f>VLOOKUP(C20,'Sales Master'!$B$3:$FA$3051,156,0)</f>
        <v>26.784000000000002</v>
      </c>
      <c r="O20" s="247">
        <f>K20-N20</f>
        <v>6.2159999999999975</v>
      </c>
      <c r="P20" s="247">
        <f>O20*G20</f>
        <v>6.2159999999999975</v>
      </c>
    </row>
    <row r="21" spans="2:16" ht="20.149999999999999" customHeight="1" x14ac:dyDescent="0.45">
      <c r="B21" s="21"/>
      <c r="C21" s="12"/>
      <c r="D21" s="69"/>
      <c r="E21" s="69"/>
      <c r="F21" s="69"/>
      <c r="G21" s="45"/>
      <c r="H21" s="65"/>
      <c r="I21" s="65"/>
      <c r="J21" s="65"/>
      <c r="K21" s="22"/>
      <c r="L21" s="120"/>
    </row>
    <row r="22" spans="2:16" ht="20.149999999999999" customHeight="1" x14ac:dyDescent="0.45">
      <c r="B22" s="21"/>
      <c r="C22" s="275"/>
      <c r="G22" s="99"/>
      <c r="H22" s="65"/>
      <c r="I22" s="65"/>
      <c r="J22" s="65"/>
      <c r="K22" s="96"/>
      <c r="L22" s="120"/>
    </row>
    <row r="23" spans="2:16" ht="20.149999999999999" customHeight="1" x14ac:dyDescent="0.45">
      <c r="B23" s="21"/>
      <c r="C23" s="45"/>
      <c r="D23" s="440"/>
      <c r="E23" s="440"/>
      <c r="F23" s="440"/>
      <c r="G23" s="99"/>
      <c r="H23" s="65"/>
      <c r="I23" s="431"/>
      <c r="J23" s="431"/>
      <c r="K23" s="96"/>
      <c r="L23" s="120"/>
    </row>
    <row r="24" spans="2:16" ht="20.149999999999999" customHeight="1" x14ac:dyDescent="0.45">
      <c r="B24" s="21"/>
      <c r="C24" s="305" t="s">
        <v>1458</v>
      </c>
      <c r="G24" s="233"/>
      <c r="H24" s="65"/>
      <c r="I24" s="65"/>
      <c r="J24" s="65"/>
      <c r="K24" s="22"/>
      <c r="L24" s="71"/>
    </row>
    <row r="25" spans="2:16" ht="20.149999999999999" customHeight="1" x14ac:dyDescent="0.45">
      <c r="B25" s="21"/>
      <c r="C25" s="45" t="s">
        <v>1080</v>
      </c>
      <c r="D25" s="430" t="str">
        <f>VLOOKUP(C25,'Sales Master'!B$3:D$644,2,0)</f>
        <v>Fine Sugar 白糖</v>
      </c>
      <c r="E25" s="430"/>
      <c r="F25" s="430"/>
      <c r="G25" s="233">
        <v>1</v>
      </c>
      <c r="H25" s="241" t="str">
        <f>VLOOKUP(C25,'Sales Master'!B$3:F$936,5,0)</f>
        <v>25 KGS</v>
      </c>
      <c r="I25" s="432" t="str">
        <f>VLOOKUP(C25,'Sales Master'!B$3:E$936,4,0)</f>
        <v>MITR PHOL</v>
      </c>
      <c r="J25" s="432"/>
      <c r="K25" s="22">
        <v>30.5</v>
      </c>
      <c r="L25" s="71"/>
    </row>
    <row r="26" spans="2:16" ht="20.149999999999999" customHeight="1" x14ac:dyDescent="0.45">
      <c r="B26" s="21"/>
      <c r="C26" s="45" t="s">
        <v>1044</v>
      </c>
      <c r="D26" s="430" t="str">
        <f>VLOOKUP(C26,'Sales Master'!B$3:D$644,2,0)</f>
        <v>Carnation Milk 三花淡奶水</v>
      </c>
      <c r="E26" s="430"/>
      <c r="F26" s="430"/>
      <c r="G26" s="233">
        <v>1</v>
      </c>
      <c r="H26" s="241" t="str">
        <f>VLOOKUP(C26,'Sales Master'!B$3:F$936,5,0)</f>
        <v>405 gm x48 can/Ctn</v>
      </c>
      <c r="I26" s="432" t="str">
        <f>VLOOKUP(C26,'Sales Master'!B$3:E$936,4,0)</f>
        <v>Threeflower</v>
      </c>
      <c r="J26" s="432"/>
      <c r="K26" s="22">
        <v>60</v>
      </c>
      <c r="L26" s="23"/>
    </row>
    <row r="27" spans="2:16" ht="20.149999999999999" customHeight="1" x14ac:dyDescent="0.45">
      <c r="B27" s="21"/>
      <c r="C27" s="45"/>
      <c r="D27" s="430"/>
      <c r="E27" s="430"/>
      <c r="F27" s="430"/>
      <c r="G27" s="99"/>
      <c r="H27" s="65"/>
      <c r="I27" s="431"/>
      <c r="J27" s="431"/>
      <c r="K27" s="96"/>
      <c r="L27" s="23"/>
    </row>
    <row r="28" spans="2:16" ht="20.149999999999999" customHeight="1" thickBot="1" x14ac:dyDescent="0.5">
      <c r="B28" s="24"/>
      <c r="C28" s="25"/>
      <c r="D28" s="473"/>
      <c r="E28" s="473"/>
      <c r="F28" s="473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474" t="s">
        <v>13</v>
      </c>
      <c r="K30" s="475"/>
      <c r="L30" s="30">
        <f>SUM(L18:L29)</f>
        <v>313</v>
      </c>
      <c r="M30" s="95">
        <f>SUM(P9:P25)-(L33*0.02)</f>
        <v>51.752296296296294</v>
      </c>
      <c r="N30" s="248">
        <f>M30/L30</f>
        <v>0.16534279966867826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0" t="s">
        <v>553</v>
      </c>
      <c r="K31" s="113">
        <v>6.54E-2</v>
      </c>
      <c r="L31" s="32">
        <f>L33</f>
        <v>23.185185185185187</v>
      </c>
    </row>
    <row r="32" spans="2:16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476" t="s">
        <v>555</v>
      </c>
      <c r="K32" s="477"/>
      <c r="L32" s="114">
        <f>L30/108*100</f>
        <v>289.81481481481484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1" t="s">
        <v>554</v>
      </c>
      <c r="K33" s="112">
        <v>0.08</v>
      </c>
      <c r="L33" s="44">
        <f>L32*K33</f>
        <v>23.185185185185187</v>
      </c>
    </row>
    <row r="34" spans="2:12" ht="20.149999999999999" customHeight="1" thickBot="1" x14ac:dyDescent="0.5">
      <c r="B34" s="11" t="s">
        <v>748</v>
      </c>
      <c r="C34" s="10"/>
      <c r="D34" s="10"/>
      <c r="E34" s="10"/>
      <c r="F34" s="10"/>
      <c r="G34" s="10"/>
      <c r="H34" s="10"/>
      <c r="I34" s="10"/>
      <c r="J34" s="478" t="s">
        <v>21</v>
      </c>
      <c r="K34" s="479"/>
      <c r="L34" s="33">
        <f>L32+L33</f>
        <v>313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J35" s="270"/>
      <c r="K35" s="206"/>
      <c r="L35" s="244"/>
    </row>
    <row r="36" spans="2:12" ht="20.149999999999999" customHeight="1" x14ac:dyDescent="0.45">
      <c r="B36" s="183" t="s">
        <v>749</v>
      </c>
      <c r="J36" s="270"/>
      <c r="K36" s="206"/>
      <c r="L36" s="312"/>
    </row>
    <row r="37" spans="2:12" ht="20.149999999999999" customHeight="1" x14ac:dyDescent="0.45">
      <c r="B37" s="28"/>
      <c r="L37" s="263"/>
    </row>
    <row r="38" spans="2:12" ht="20.149999999999999" customHeight="1" x14ac:dyDescent="0.45">
      <c r="B38" s="28"/>
      <c r="L38" s="263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3">
    <mergeCell ref="J34:K34"/>
    <mergeCell ref="D26:F26"/>
    <mergeCell ref="D28:F28"/>
    <mergeCell ref="J30:K30"/>
    <mergeCell ref="J32:K32"/>
    <mergeCell ref="I26:J26"/>
    <mergeCell ref="D27:F27"/>
    <mergeCell ref="I27:J27"/>
    <mergeCell ref="I23:J23"/>
    <mergeCell ref="B15:D15"/>
    <mergeCell ref="D20:F20"/>
    <mergeCell ref="D25:F25"/>
    <mergeCell ref="I25:J25"/>
    <mergeCell ref="D23:F23"/>
    <mergeCell ref="I20:J20"/>
    <mergeCell ref="D18:F18"/>
    <mergeCell ref="I18:J18"/>
    <mergeCell ref="I19:J19"/>
    <mergeCell ref="D19:F19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4">
    <cfRule type="duplicateValues" dxfId="65" priority="1"/>
  </conditionalFormatting>
  <conditionalFormatting sqref="C27">
    <cfRule type="duplicateValues" dxfId="64" priority="2"/>
  </conditionalFormatting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C0462-DF78-4E11-AB60-EEA6B734D51C}">
  <sheetPr codeName="Sheet94">
    <tabColor rgb="FFFFC000"/>
    <pageSetUpPr fitToPage="1"/>
  </sheetPr>
  <dimension ref="B1:T43"/>
  <sheetViews>
    <sheetView zoomScaleNormal="100" workbookViewId="0">
      <selection activeCell="K10" sqref="K10:L1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5.726562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" width="12.54296875" style="60"/>
    <col min="17" max="17" width="29.453125" style="60" customWidth="1"/>
    <col min="18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441</v>
      </c>
      <c r="J10" s="17" t="s">
        <v>26</v>
      </c>
      <c r="K10" s="455">
        <v>202310686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Uncle Jim @Fresh Fruit                          Blk 110, Pasir Ris Central Hawker Centre  #01-17 Singapore 519641</v>
      </c>
      <c r="G11" s="445"/>
      <c r="H11" s="446"/>
      <c r="J11" s="18" t="s">
        <v>9</v>
      </c>
      <c r="K11" s="460">
        <v>45229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0" ht="20.149999999999999" customHeight="1" x14ac:dyDescent="0.45">
      <c r="B18" s="21"/>
      <c r="C18" s="338" t="s">
        <v>819</v>
      </c>
      <c r="D18" s="494" t="str">
        <f>VLOOKUP(C18,'Sales Master'!B$3:D$643,2,0)</f>
        <v>Fresh Soursop Seedless 红毛榴莲(无)</v>
      </c>
      <c r="E18" s="494"/>
      <c r="F18" s="494"/>
      <c r="G18" s="45">
        <v>2</v>
      </c>
      <c r="H18" s="241" t="str">
        <f>VLOOKUP(C18,'Sales Master'!B$3:F$936,5,0)</f>
        <v>5 KGS/ Tub桶</v>
      </c>
      <c r="I18" s="432" t="str">
        <f>VLOOKUP(C18,'Sales Master'!B$3:E$936,4,0)</f>
        <v>DO!</v>
      </c>
      <c r="J18" s="432"/>
      <c r="K18" s="184">
        <f>VLOOKUP(C18,'Sales Master'!B$3:AH$527,33,0)</f>
        <v>38</v>
      </c>
      <c r="L18" s="71">
        <f>K18*G18</f>
        <v>76</v>
      </c>
      <c r="N18" s="247">
        <f>VLOOKUP(C18,'Sales Master'!$B$3:$FA$3051,156,0)</f>
        <v>25.4</v>
      </c>
      <c r="O18" s="247">
        <f>K18-N18</f>
        <v>12.600000000000001</v>
      </c>
      <c r="P18" s="247">
        <f>O18*G18</f>
        <v>25.200000000000003</v>
      </c>
      <c r="R18" s="60">
        <v>1</v>
      </c>
      <c r="S18" s="60" t="s">
        <v>59</v>
      </c>
      <c r="T18" s="60" t="s">
        <v>382</v>
      </c>
    </row>
    <row r="19" spans="2:20" ht="20.149999999999999" customHeight="1" x14ac:dyDescent="0.45">
      <c r="B19" s="21"/>
      <c r="C19" s="338" t="s">
        <v>833</v>
      </c>
      <c r="D19" s="430" t="str">
        <f>VLOOKUP(C19,'Sales Master'!B$3:D$643,2,0)</f>
        <v>Coconut Sugar Syrup 椰糖浆</v>
      </c>
      <c r="E19" s="430"/>
      <c r="F19" s="430"/>
      <c r="G19" s="45">
        <v>1</v>
      </c>
      <c r="H19" s="241" t="str">
        <f>VLOOKUP(C19,'Sales Master'!B$3:F$936,5,0)</f>
        <v>4L/ Btl支</v>
      </c>
      <c r="I19" s="432" t="str">
        <f>VLOOKUP(C19,'Sales Master'!B$3:E$936,4,0)</f>
        <v>DO!</v>
      </c>
      <c r="J19" s="432"/>
      <c r="K19" s="22">
        <f>VLOOKUP(C19,'Sales Master'!B$3:AH$527,33,0)</f>
        <v>15</v>
      </c>
      <c r="L19" s="71">
        <f>K19*G19</f>
        <v>15</v>
      </c>
      <c r="N19" s="247">
        <f>VLOOKUP(C19,'Sales Master'!$B$3:$FA$3051,156,0)</f>
        <v>8.89</v>
      </c>
      <c r="O19" s="247">
        <f>K19-N19</f>
        <v>6.1099999999999994</v>
      </c>
      <c r="P19" s="247">
        <f>O19*G19</f>
        <v>6.1099999999999994</v>
      </c>
    </row>
    <row r="20" spans="2:20" ht="20.149999999999999" customHeight="1" x14ac:dyDescent="0.45">
      <c r="B20" s="21"/>
      <c r="C20" s="338" t="s">
        <v>1706</v>
      </c>
      <c r="D20" s="430" t="str">
        <f>VLOOKUP(C20,'Sales Master'!B$3:D$643,2,0)</f>
        <v>Fine Sugar 白糖</v>
      </c>
      <c r="E20" s="430"/>
      <c r="F20" s="430"/>
      <c r="G20" s="45">
        <v>1</v>
      </c>
      <c r="H20" s="241" t="str">
        <f>VLOOKUP(C20,'Sales Master'!B$3:F$936,5,0)</f>
        <v>5 kgs</v>
      </c>
      <c r="I20" s="432" t="str">
        <f>VLOOKUP(C20,'Sales Master'!B$3:E$936,4,0)</f>
        <v>MITR PHOL</v>
      </c>
      <c r="J20" s="432"/>
      <c r="K20" s="22">
        <f>VLOOKUP(C20,'Sales Master'!B$3:AH$527,33,0)</f>
        <v>7.8</v>
      </c>
      <c r="L20" s="71">
        <f>K20*G20</f>
        <v>7.8</v>
      </c>
      <c r="N20" s="247">
        <f>VLOOKUP(C20,'Sales Master'!$B$3:$FA$3051,156,0)</f>
        <v>5.3568000000000007</v>
      </c>
      <c r="O20" s="247">
        <f>K20-N20</f>
        <v>2.4431999999999992</v>
      </c>
      <c r="P20" s="247">
        <f>O20*G20</f>
        <v>2.4431999999999992</v>
      </c>
    </row>
    <row r="21" spans="2:20" ht="20.149999999999999" customHeight="1" x14ac:dyDescent="0.45">
      <c r="B21" s="21"/>
      <c r="C21" s="338"/>
      <c r="D21" s="430"/>
      <c r="E21" s="430"/>
      <c r="F21" s="430"/>
      <c r="G21" s="45"/>
      <c r="H21" s="241"/>
      <c r="I21" s="432"/>
      <c r="J21" s="432"/>
      <c r="K21" s="22"/>
      <c r="L21" s="71"/>
      <c r="N21" s="247"/>
      <c r="O21" s="247"/>
      <c r="P21" s="247"/>
    </row>
    <row r="22" spans="2:20" ht="20.149999999999999" customHeight="1" x14ac:dyDescent="0.45">
      <c r="B22" s="21"/>
      <c r="D22" s="69"/>
      <c r="E22" s="69"/>
      <c r="F22" s="69"/>
      <c r="G22" s="45"/>
      <c r="H22" s="65"/>
      <c r="I22" s="65"/>
      <c r="J22" s="65"/>
      <c r="K22" s="22"/>
      <c r="L22" s="71"/>
      <c r="N22" s="247"/>
      <c r="O22" s="247"/>
      <c r="P22" s="247"/>
    </row>
    <row r="23" spans="2:20" ht="20.149999999999999" customHeight="1" x14ac:dyDescent="0.45">
      <c r="B23" s="70"/>
      <c r="C23" s="140"/>
      <c r="E23" s="69"/>
      <c r="F23" s="69"/>
      <c r="G23" s="99"/>
      <c r="H23" s="65"/>
      <c r="I23" s="65"/>
      <c r="J23" s="65"/>
      <c r="K23" s="22"/>
      <c r="L23" s="98"/>
    </row>
    <row r="24" spans="2:20" ht="20.149999999999999" customHeight="1" x14ac:dyDescent="0.45">
      <c r="B24" s="70"/>
      <c r="C24" s="338"/>
      <c r="D24" s="430"/>
      <c r="E24" s="430"/>
      <c r="F24" s="430"/>
      <c r="G24" s="99"/>
      <c r="H24" s="241"/>
      <c r="I24" s="432"/>
      <c r="J24" s="432"/>
      <c r="K24" s="22"/>
      <c r="L24" s="71"/>
    </row>
    <row r="25" spans="2:20" ht="20.149999999999999" customHeight="1" x14ac:dyDescent="0.45">
      <c r="B25" s="21"/>
      <c r="D25" s="69"/>
      <c r="E25" s="69"/>
      <c r="F25" s="69"/>
      <c r="G25" s="99"/>
      <c r="H25" s="65"/>
      <c r="I25" s="65"/>
      <c r="J25" s="65"/>
      <c r="K25" s="96"/>
      <c r="L25" s="23"/>
    </row>
    <row r="26" spans="2:20" ht="20.149999999999999" customHeight="1" x14ac:dyDescent="0.45">
      <c r="B26" s="21"/>
      <c r="C26"/>
      <c r="D26" s="130"/>
      <c r="E26" s="130"/>
      <c r="F26" s="130"/>
      <c r="G26" s="99"/>
      <c r="H26" s="65"/>
      <c r="I26" s="65"/>
      <c r="J26" s="65"/>
      <c r="K26" s="96"/>
      <c r="L26" s="23"/>
    </row>
    <row r="27" spans="2:20" ht="20.149999999999999" customHeight="1" x14ac:dyDescent="0.45">
      <c r="B27" s="21"/>
      <c r="C27" s="45"/>
      <c r="D27" s="430"/>
      <c r="E27" s="430"/>
      <c r="F27" s="430"/>
      <c r="G27" s="99"/>
      <c r="H27" s="65"/>
      <c r="I27" s="431"/>
      <c r="J27" s="431"/>
      <c r="K27" s="96"/>
      <c r="L27" s="23"/>
    </row>
    <row r="28" spans="2:20" ht="20.149999999999999" customHeight="1" thickBot="1" x14ac:dyDescent="0.5">
      <c r="B28" s="24"/>
      <c r="C28" s="25"/>
      <c r="D28" s="473"/>
      <c r="E28" s="473"/>
      <c r="F28" s="473"/>
      <c r="G28" s="25"/>
      <c r="H28" s="66"/>
      <c r="I28" s="66"/>
      <c r="J28" s="66"/>
      <c r="K28" s="26"/>
      <c r="L28" s="27"/>
    </row>
    <row r="29" spans="2:20" ht="20.149999999999999" customHeight="1" thickBot="1" x14ac:dyDescent="0.5">
      <c r="B29" s="28"/>
      <c r="L29" s="29"/>
    </row>
    <row r="30" spans="2:20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474" t="s">
        <v>13</v>
      </c>
      <c r="K30" s="475"/>
      <c r="L30" s="30">
        <f>SUM(L16:L29)</f>
        <v>98.8</v>
      </c>
      <c r="M30" s="95">
        <f>SUM(P6:P27)-(L33*0.02)</f>
        <v>33.60682962962963</v>
      </c>
      <c r="N30" s="248">
        <f>M30/L30</f>
        <v>0.34015009746588692</v>
      </c>
    </row>
    <row r="31" spans="2:20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0" t="s">
        <v>553</v>
      </c>
      <c r="K31" s="113">
        <v>6.54E-2</v>
      </c>
      <c r="L31" s="32">
        <f>L33</f>
        <v>7.3185185185185189</v>
      </c>
    </row>
    <row r="32" spans="2:20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476" t="s">
        <v>555</v>
      </c>
      <c r="K32" s="477"/>
      <c r="L32" s="114">
        <f>L30/108*100</f>
        <v>91.481481481481481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1" t="s">
        <v>554</v>
      </c>
      <c r="K33" s="112">
        <v>0.08</v>
      </c>
      <c r="L33" s="44">
        <f>L32*0.08</f>
        <v>7.3185185185185189</v>
      </c>
    </row>
    <row r="34" spans="2:12" ht="20.149999999999999" customHeight="1" thickBot="1" x14ac:dyDescent="0.5">
      <c r="B34" s="11" t="s">
        <v>748</v>
      </c>
      <c r="C34" s="10"/>
      <c r="D34" s="10"/>
      <c r="E34" s="10"/>
      <c r="F34" s="10"/>
      <c r="G34" s="10"/>
      <c r="H34" s="10"/>
      <c r="I34" s="10"/>
      <c r="J34" s="478" t="s">
        <v>21</v>
      </c>
      <c r="K34" s="479"/>
      <c r="L34" s="33">
        <f>L32+L33</f>
        <v>98.8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83" t="s">
        <v>749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 t="s">
        <v>334</v>
      </c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  <row r="43" spans="2:12" ht="20.5" x14ac:dyDescent="0.45">
      <c r="F43" s="317"/>
    </row>
  </sheetData>
  <mergeCells count="31">
    <mergeCell ref="D20:F20"/>
    <mergeCell ref="I20:J20"/>
    <mergeCell ref="D24:F24"/>
    <mergeCell ref="I24:J24"/>
    <mergeCell ref="J34:K34"/>
    <mergeCell ref="D27:F27"/>
    <mergeCell ref="D28:F28"/>
    <mergeCell ref="J30:K30"/>
    <mergeCell ref="J32:K32"/>
    <mergeCell ref="I27:J27"/>
    <mergeCell ref="D21:F21"/>
    <mergeCell ref="I21:J21"/>
    <mergeCell ref="D18:F18"/>
    <mergeCell ref="I18:J18"/>
    <mergeCell ref="D19:F19"/>
    <mergeCell ref="I19:J19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3">
    <cfRule type="duplicateValues" dxfId="63" priority="1"/>
  </conditionalFormatting>
  <conditionalFormatting sqref="C24">
    <cfRule type="duplicateValues" dxfId="62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3173-F5DA-4C0F-A205-B09D009775DC}">
  <sheetPr codeName="Sheet95">
    <tabColor rgb="FFFFC000"/>
    <pageSetUpPr fitToPage="1"/>
  </sheetPr>
  <dimension ref="B1:P45"/>
  <sheetViews>
    <sheetView topLeftCell="B1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452</v>
      </c>
      <c r="J10" s="17" t="s">
        <v>26</v>
      </c>
      <c r="K10" s="455">
        <v>202309359</v>
      </c>
      <c r="L10" s="456"/>
    </row>
    <row r="11" spans="2:12" ht="20.149999999999999" customHeight="1" x14ac:dyDescent="0.45">
      <c r="B11" s="480" t="s">
        <v>306</v>
      </c>
      <c r="C11" s="481"/>
      <c r="D11" s="482"/>
      <c r="E11" s="61"/>
      <c r="F11" s="444" t="str">
        <f>VLOOKUP(H10,'Delivery Location'!A$4:N$423,2,0)</f>
        <v>U Cool                                                      Bendemeer Road  Blk 44,                      #01-1468 Singapore 330044</v>
      </c>
      <c r="G11" s="445"/>
      <c r="H11" s="446"/>
      <c r="J11" s="18" t="s">
        <v>9</v>
      </c>
      <c r="K11" s="460">
        <v>45183</v>
      </c>
      <c r="L11" s="461"/>
    </row>
    <row r="12" spans="2:12" ht="20.149999999999999" customHeight="1" x14ac:dyDescent="0.45">
      <c r="B12" s="462" t="s">
        <v>307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 t="s">
        <v>308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1024</v>
      </c>
      <c r="D18" s="430" t="str">
        <f>VLOOKUP(C18,'Sales Master'!B$3:D$316,2,0)</f>
        <v>Nata 椰果芊 5mm</v>
      </c>
      <c r="E18" s="430"/>
      <c r="F18" s="430"/>
      <c r="G18" s="45">
        <v>12</v>
      </c>
      <c r="H18" s="241" t="str">
        <f>VLOOKUP(C18,'Sales Master'!B$3:F$936,5,0)</f>
        <v>1 Can X A10</v>
      </c>
      <c r="I18" s="432" t="str">
        <f>VLOOKUP(C18,'Sales Master'!B$3:E$936,4,0)</f>
        <v>Chefs</v>
      </c>
      <c r="J18" s="432"/>
      <c r="K18" s="22">
        <f>VLOOKUP(C18,'Sales Master'!B$8:V$936,21,0)</f>
        <v>10.5</v>
      </c>
      <c r="L18" s="23">
        <f>K18*G18</f>
        <v>126</v>
      </c>
      <c r="N18" s="247">
        <f>VLOOKUP(C18,'Sales Master'!$B$3:$FA$3051,156,0)</f>
        <v>7.666666666666667</v>
      </c>
      <c r="O18" s="247">
        <f>K18-N18</f>
        <v>2.833333333333333</v>
      </c>
      <c r="P18" s="247">
        <f>O18*G18</f>
        <v>34</v>
      </c>
    </row>
    <row r="19" spans="2:16" ht="20.149999999999999" customHeight="1" x14ac:dyDescent="0.45">
      <c r="B19" s="21"/>
      <c r="C19" s="45"/>
      <c r="D19" s="430"/>
      <c r="E19" s="430"/>
      <c r="F19" s="430"/>
      <c r="G19" s="45"/>
      <c r="H19" s="241"/>
      <c r="I19" s="432"/>
      <c r="J19" s="432"/>
      <c r="K19" s="22"/>
      <c r="L19" s="23"/>
      <c r="N19" s="247"/>
      <c r="O19" s="247"/>
      <c r="P19" s="247"/>
    </row>
    <row r="20" spans="2:16" ht="20.149999999999999" customHeight="1" x14ac:dyDescent="0.45">
      <c r="B20" s="21"/>
      <c r="D20" s="69"/>
      <c r="E20" s="69"/>
      <c r="F20" s="69"/>
      <c r="G20" s="45"/>
      <c r="H20" s="241"/>
      <c r="I20" s="322"/>
      <c r="J20" s="322"/>
      <c r="K20" s="22"/>
      <c r="L20" s="23"/>
      <c r="N20" s="247"/>
      <c r="O20" s="247"/>
      <c r="P20" s="247"/>
    </row>
    <row r="21" spans="2:16" ht="20.149999999999999" customHeight="1" x14ac:dyDescent="0.45">
      <c r="B21" s="21"/>
      <c r="C21" s="45"/>
      <c r="D21" s="430"/>
      <c r="E21" s="430"/>
      <c r="F21" s="430"/>
      <c r="G21" s="45"/>
      <c r="H21" s="241"/>
      <c r="I21" s="432"/>
      <c r="J21" s="432"/>
      <c r="K21" s="22"/>
      <c r="L21" s="23"/>
      <c r="N21" s="247"/>
      <c r="O21" s="247"/>
      <c r="P21" s="247"/>
    </row>
    <row r="22" spans="2:16" ht="20.149999999999999" customHeight="1" x14ac:dyDescent="0.45">
      <c r="B22" s="21"/>
      <c r="C22" s="305" t="s">
        <v>1458</v>
      </c>
      <c r="G22" s="45"/>
      <c r="H22" s="65"/>
      <c r="I22" s="431"/>
      <c r="J22" s="431"/>
      <c r="K22" s="22"/>
      <c r="L22" s="23"/>
      <c r="N22" s="247"/>
      <c r="O22" s="247"/>
      <c r="P22" s="247"/>
    </row>
    <row r="23" spans="2:16" ht="20.149999999999999" customHeight="1" x14ac:dyDescent="0.45">
      <c r="B23" s="21"/>
      <c r="C23" s="45" t="s">
        <v>1024</v>
      </c>
      <c r="D23" s="430" t="str">
        <f>VLOOKUP(C23,'Sales Master'!B$3:D$316,2,0)</f>
        <v>Nata 椰果芊 5mm</v>
      </c>
      <c r="E23" s="430"/>
      <c r="F23" s="430"/>
      <c r="G23" s="45">
        <v>1</v>
      </c>
      <c r="H23" s="241" t="str">
        <f>VLOOKUP(C23,'Sales Master'!B$3:F$936,5,0)</f>
        <v>1 Can X A10</v>
      </c>
      <c r="I23" s="432" t="str">
        <f>VLOOKUP(C23,'Sales Master'!B$3:E$936,4,0)</f>
        <v>Chefs</v>
      </c>
      <c r="J23" s="432"/>
      <c r="K23" s="22">
        <v>10.5</v>
      </c>
      <c r="L23" s="23"/>
    </row>
    <row r="24" spans="2:16" ht="20.149999999999999" customHeight="1" x14ac:dyDescent="0.45">
      <c r="B24" s="21"/>
      <c r="C24" s="346" t="s">
        <v>820</v>
      </c>
      <c r="D24" s="430" t="str">
        <f>VLOOKUP(C24,'Sales Master'!B$3:D$316,2,0)</f>
        <v>Durian Puree 榴莲浆</v>
      </c>
      <c r="E24" s="430"/>
      <c r="F24" s="430"/>
      <c r="G24" s="45">
        <v>1</v>
      </c>
      <c r="H24" s="241" t="str">
        <f>VLOOKUP(C24,'Sales Master'!B$3:F$936,5,0)</f>
        <v>Box/盒</v>
      </c>
      <c r="I24" s="432" t="str">
        <f>VLOOKUP(C24,'Sales Master'!B$3:E$936,4,0)</f>
        <v>DO!</v>
      </c>
      <c r="J24" s="432"/>
      <c r="K24" s="22">
        <v>8</v>
      </c>
      <c r="L24" s="23"/>
    </row>
    <row r="25" spans="2:16" ht="20.149999999999999" customHeight="1" x14ac:dyDescent="0.45">
      <c r="B25" s="21"/>
      <c r="C25" s="278"/>
      <c r="D25" s="69"/>
      <c r="E25" s="69"/>
      <c r="F25" s="69"/>
      <c r="G25" s="45"/>
      <c r="H25" s="241"/>
      <c r="I25" s="322"/>
      <c r="J25" s="322"/>
      <c r="K25" s="22"/>
      <c r="L25" s="23"/>
    </row>
    <row r="26" spans="2:16" ht="20.149999999999999" customHeight="1" x14ac:dyDescent="0.45">
      <c r="B26" s="21"/>
      <c r="C26" s="12" t="s">
        <v>1236</v>
      </c>
      <c r="D26" s="430"/>
      <c r="E26" s="430"/>
      <c r="F26" s="430"/>
      <c r="G26" s="45"/>
      <c r="H26" s="65"/>
      <c r="I26" s="431"/>
      <c r="J26" s="431"/>
      <c r="K26" s="22"/>
      <c r="L26" s="23"/>
    </row>
    <row r="27" spans="2:16" ht="20.149999999999999" customHeight="1" x14ac:dyDescent="0.45">
      <c r="B27" s="21"/>
      <c r="C27" s="69" t="s">
        <v>1363</v>
      </c>
      <c r="D27" s="69"/>
      <c r="E27" s="69"/>
      <c r="F27" s="69"/>
      <c r="G27" s="69"/>
      <c r="H27" s="241"/>
      <c r="I27" s="241"/>
      <c r="J27" s="241"/>
      <c r="K27" s="240"/>
      <c r="L27" s="23"/>
    </row>
    <row r="28" spans="2:16" ht="20.149999999999999" customHeight="1" x14ac:dyDescent="0.45">
      <c r="B28" s="21"/>
      <c r="C28" s="69" t="s">
        <v>1364</v>
      </c>
      <c r="G28" s="45"/>
      <c r="H28" s="65"/>
      <c r="I28" s="206"/>
      <c r="J28" s="206"/>
      <c r="K28" s="22"/>
      <c r="L28" s="23"/>
    </row>
    <row r="29" spans="2:16" ht="20.149999999999999" customHeight="1" x14ac:dyDescent="0.45">
      <c r="B29" s="21"/>
      <c r="C29" s="12"/>
      <c r="G29" s="45"/>
      <c r="H29" s="65"/>
      <c r="I29" s="431"/>
      <c r="J29" s="431"/>
      <c r="K29" s="22"/>
      <c r="L29" s="23"/>
    </row>
    <row r="30" spans="2:16" ht="20.149999999999999" customHeight="1" x14ac:dyDescent="0.45">
      <c r="B30" s="21"/>
      <c r="C30" s="45"/>
      <c r="D30" s="430"/>
      <c r="E30" s="430"/>
      <c r="F30" s="430"/>
      <c r="G30" s="45"/>
      <c r="H30" s="65"/>
      <c r="I30" s="431"/>
      <c r="J30" s="431"/>
      <c r="K30" s="22"/>
      <c r="L30" s="23"/>
    </row>
    <row r="31" spans="2:16" ht="20.149999999999999" customHeight="1" thickBot="1" x14ac:dyDescent="0.5">
      <c r="B31" s="24"/>
      <c r="C31" s="25"/>
      <c r="D31" s="473"/>
      <c r="E31" s="473"/>
      <c r="F31" s="473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30">
        <f>SUM(L17:L32)</f>
        <v>126</v>
      </c>
      <c r="M33" s="95">
        <f>SUM(P13:P31)-L33*0.02</f>
        <v>31.48</v>
      </c>
    </row>
    <row r="34" spans="2:13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32">
        <f>L36</f>
        <v>9.3333333333333339</v>
      </c>
    </row>
    <row r="35" spans="2:13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114">
        <f>L33/108*100</f>
        <v>116.66666666666667</v>
      </c>
    </row>
    <row r="36" spans="2:13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0.08</v>
      </c>
      <c r="L36" s="44">
        <f>L35*K36</f>
        <v>9.3333333333333339</v>
      </c>
    </row>
    <row r="37" spans="2:13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78" t="s">
        <v>21</v>
      </c>
      <c r="K37" s="479"/>
      <c r="L37" s="33">
        <f>L35+L36</f>
        <v>126</v>
      </c>
    </row>
    <row r="38" spans="2:13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312"/>
    </row>
    <row r="39" spans="2:13" ht="20.149999999999999" customHeight="1" x14ac:dyDescent="0.45">
      <c r="B39" s="183" t="s">
        <v>749</v>
      </c>
      <c r="L39" s="320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24</v>
      </c>
      <c r="J44" s="60" t="s">
        <v>25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5">
    <mergeCell ref="B1:L8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B15:D15"/>
    <mergeCell ref="K15:L15"/>
    <mergeCell ref="B14:D14"/>
    <mergeCell ref="J37:K37"/>
    <mergeCell ref="D30:F30"/>
    <mergeCell ref="D31:F31"/>
    <mergeCell ref="J33:K33"/>
    <mergeCell ref="J35:K35"/>
    <mergeCell ref="I30:J30"/>
    <mergeCell ref="D17:F17"/>
    <mergeCell ref="D23:F23"/>
    <mergeCell ref="I22:J22"/>
    <mergeCell ref="I29:J29"/>
    <mergeCell ref="I24:J24"/>
    <mergeCell ref="I26:J26"/>
    <mergeCell ref="D19:F19"/>
    <mergeCell ref="D21:F21"/>
    <mergeCell ref="I23:J23"/>
    <mergeCell ref="D24:F24"/>
    <mergeCell ref="I21:J21"/>
    <mergeCell ref="D26:F26"/>
    <mergeCell ref="I19:J19"/>
  </mergeCells>
  <conditionalFormatting sqref="C22">
    <cfRule type="duplicateValues" dxfId="61" priority="1"/>
  </conditionalFormatting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AF76A-494E-4320-962C-9A9B8F66AB51}">
  <sheetPr codeName="Sheet5">
    <tabColor rgb="FF7030A0"/>
    <pageSetUpPr fitToPage="1"/>
  </sheetPr>
  <dimension ref="B8:P46"/>
  <sheetViews>
    <sheetView topLeftCell="B21" zoomScaleNormal="100" workbookViewId="0">
      <selection activeCell="B1" sqref="B1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8" spans="2:12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428</v>
      </c>
      <c r="J10" s="17" t="s">
        <v>26</v>
      </c>
      <c r="K10" s="455">
        <v>202308376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TEL: 8339 5755                                         Blk 433  Ang Mo Kio Ave 10              #03-1397 Singapore 560433</v>
      </c>
      <c r="G11" s="445"/>
      <c r="H11" s="446"/>
      <c r="J11" s="18" t="s">
        <v>9</v>
      </c>
      <c r="K11" s="460">
        <v>45152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949</v>
      </c>
      <c r="D18" s="430" t="str">
        <f>VLOOKUP(C18,'Sales Master'!$B$3:D$643,2,0)</f>
        <v>Black Glutinous Rice 黑糯米</v>
      </c>
      <c r="E18" s="430"/>
      <c r="F18" s="430"/>
      <c r="G18" s="45">
        <v>1</v>
      </c>
      <c r="H18" s="65" t="str">
        <f>VLOOKUP(C18,'Sales Master'!B$3:F$936,5,0)</f>
        <v>5 kgs</v>
      </c>
      <c r="I18" s="431" t="str">
        <f>VLOOKUP(C18,'Sales Master'!B$3:E$936,4,0)</f>
        <v>-</v>
      </c>
      <c r="J18" s="431"/>
      <c r="K18" s="22">
        <f>VLOOKUP(C18,'Sales Master'!$B$8:$BV$8018,73,0)</f>
        <v>18</v>
      </c>
      <c r="L18" s="71">
        <f>K18*G18</f>
        <v>18</v>
      </c>
      <c r="N18" s="247">
        <f>VLOOKUP(C18,'Sales Master'!$B$3:$FA$3051,156,0)</f>
        <v>12.960000000000003</v>
      </c>
      <c r="O18" s="247">
        <f>K18-N18</f>
        <v>5.0399999999999974</v>
      </c>
      <c r="P18" s="247">
        <f>O18*G18</f>
        <v>5.0399999999999974</v>
      </c>
    </row>
    <row r="19" spans="2:16" ht="20.149999999999999" customHeight="1" x14ac:dyDescent="0.45">
      <c r="B19" s="21"/>
      <c r="C19" s="338" t="s">
        <v>970</v>
      </c>
      <c r="D19" s="430" t="str">
        <f>VLOOKUP(C19,'Sales Master'!$B$3:D$643,2,0)</f>
        <v>Dried Longan 龙眼干</v>
      </c>
      <c r="E19" s="430"/>
      <c r="F19" s="430"/>
      <c r="G19" s="45">
        <v>1</v>
      </c>
      <c r="H19" s="65" t="str">
        <f>VLOOKUP(C19,'Sales Master'!B$3:F$936,5,0)</f>
        <v>1 kg</v>
      </c>
      <c r="I19" s="431" t="str">
        <f>VLOOKUP(C19,'Sales Master'!B$3:E$936,4,0)</f>
        <v>中</v>
      </c>
      <c r="J19" s="431"/>
      <c r="K19" s="22">
        <f>VLOOKUP(C19,'Sales Master'!$B$8:$BV$8018,73,0)</f>
        <v>14</v>
      </c>
      <c r="L19" s="71">
        <f t="shared" ref="L19:L21" si="0">K19*G19</f>
        <v>14</v>
      </c>
      <c r="N19" s="247">
        <f>VLOOKUP(C19,'Sales Master'!$B$3:$FA$3051,156,0)</f>
        <v>9.8000000000000007</v>
      </c>
      <c r="O19" s="247">
        <f t="shared" ref="O19:O21" si="1">K19-N19</f>
        <v>4.1999999999999993</v>
      </c>
      <c r="P19" s="247">
        <f t="shared" ref="P19:P21" si="2">O19*G19</f>
        <v>4.1999999999999993</v>
      </c>
    </row>
    <row r="20" spans="2:16" ht="20.149999999999999" customHeight="1" x14ac:dyDescent="0.45">
      <c r="B20" s="21"/>
      <c r="C20" s="338" t="s">
        <v>1086</v>
      </c>
      <c r="D20" s="430" t="str">
        <f>VLOOKUP(C20,'Sales Master'!$B$3:D$643,2,0)</f>
        <v>Coconut Sugar 椰糖</v>
      </c>
      <c r="E20" s="430"/>
      <c r="F20" s="430"/>
      <c r="G20" s="45">
        <v>1</v>
      </c>
      <c r="H20" s="65" t="str">
        <f>VLOOKUP(C20,'Sales Master'!B$3:F$936,5,0)</f>
        <v>10kgs/ctn</v>
      </c>
      <c r="I20" s="431" t="str">
        <f>VLOOKUP(C20,'Sales Master'!B$3:E$936,4,0)</f>
        <v>BL BRAND</v>
      </c>
      <c r="J20" s="431"/>
      <c r="K20" s="22">
        <f>VLOOKUP(C20,'Sales Master'!$B$8:$BV$8018,73,0)</f>
        <v>35</v>
      </c>
      <c r="L20" s="71">
        <f t="shared" si="0"/>
        <v>35</v>
      </c>
      <c r="N20" s="247">
        <f>VLOOKUP(C20,'Sales Master'!$B$3:$FA$3051,156,0)</f>
        <v>28</v>
      </c>
      <c r="O20" s="247">
        <f t="shared" si="1"/>
        <v>7</v>
      </c>
      <c r="P20" s="247">
        <f t="shared" si="2"/>
        <v>7</v>
      </c>
    </row>
    <row r="21" spans="2:16" ht="20.149999999999999" customHeight="1" x14ac:dyDescent="0.45">
      <c r="B21" s="21"/>
      <c r="C21" s="338" t="s">
        <v>1090</v>
      </c>
      <c r="D21" s="430" t="str">
        <f>VLOOKUP(C21,'Sales Master'!$B$3:D$643,2,0)</f>
        <v>Candy Sugar 片糖</v>
      </c>
      <c r="E21" s="430"/>
      <c r="F21" s="430"/>
      <c r="G21" s="45">
        <v>20</v>
      </c>
      <c r="H21" s="65" t="str">
        <f>VLOOKUP(C21,'Sales Master'!B$3:F$936,5,0)</f>
        <v>400 GMS</v>
      </c>
      <c r="I21" s="431" t="str">
        <f>VLOOKUP(C21,'Sales Master'!B$3:E$936,4,0)</f>
        <v>-</v>
      </c>
      <c r="J21" s="431"/>
      <c r="K21" s="22">
        <f>VLOOKUP(C21,'Sales Master'!$B$8:$BV$8018,73,0)</f>
        <v>1.1000000000000001</v>
      </c>
      <c r="L21" s="71">
        <f t="shared" si="0"/>
        <v>22</v>
      </c>
      <c r="N21" s="247">
        <f>VLOOKUP(C21,'Sales Master'!$B$3:$FA$3051,156,0)</f>
        <v>0.8</v>
      </c>
      <c r="O21" s="247">
        <f t="shared" si="1"/>
        <v>0.30000000000000004</v>
      </c>
      <c r="P21" s="247">
        <f t="shared" si="2"/>
        <v>6.0000000000000009</v>
      </c>
    </row>
    <row r="22" spans="2:16" ht="20.149999999999999" customHeight="1" x14ac:dyDescent="0.45">
      <c r="B22" s="21"/>
      <c r="C22" s="338"/>
      <c r="D22" s="430"/>
      <c r="E22" s="430"/>
      <c r="F22" s="430"/>
      <c r="G22" s="45"/>
      <c r="H22" s="65"/>
      <c r="I22" s="431"/>
      <c r="J22" s="431"/>
      <c r="K22" s="22"/>
      <c r="L22" s="71"/>
      <c r="N22" s="247"/>
      <c r="O22" s="247"/>
      <c r="P22" s="247"/>
    </row>
    <row r="23" spans="2:16" ht="20.149999999999999" customHeight="1" x14ac:dyDescent="0.45">
      <c r="B23" s="21"/>
      <c r="C23" s="69"/>
      <c r="G23" s="45"/>
      <c r="H23" s="65"/>
      <c r="I23" s="431"/>
      <c r="J23" s="431"/>
      <c r="K23" s="96"/>
      <c r="L23" s="71"/>
    </row>
    <row r="24" spans="2:16" ht="20.149999999999999" customHeight="1" x14ac:dyDescent="0.45">
      <c r="B24" s="70"/>
      <c r="C24" s="12" t="s">
        <v>1236</v>
      </c>
      <c r="G24" s="45"/>
      <c r="H24" s="65"/>
      <c r="I24" s="206"/>
      <c r="J24" s="206"/>
      <c r="K24" s="96"/>
      <c r="L24" s="98"/>
    </row>
    <row r="25" spans="2:16" ht="20.149999999999999" customHeight="1" x14ac:dyDescent="0.45">
      <c r="B25" s="70"/>
      <c r="C25" s="69" t="s">
        <v>1363</v>
      </c>
      <c r="G25" s="45"/>
      <c r="H25" s="65"/>
      <c r="I25" s="206"/>
      <c r="J25" s="206"/>
      <c r="K25" s="96"/>
      <c r="L25" s="98"/>
    </row>
    <row r="26" spans="2:16" ht="20.149999999999999" customHeight="1" x14ac:dyDescent="0.45">
      <c r="B26" s="70"/>
      <c r="C26" s="69" t="s">
        <v>1364</v>
      </c>
      <c r="D26" s="69"/>
      <c r="E26" s="69"/>
      <c r="F26" s="69"/>
      <c r="G26" s="45"/>
      <c r="H26" s="65"/>
      <c r="I26" s="65"/>
      <c r="J26" s="65"/>
      <c r="K26" s="22"/>
      <c r="L26" s="98"/>
    </row>
    <row r="27" spans="2:16" ht="20.149999999999999" customHeight="1" x14ac:dyDescent="0.45">
      <c r="B27" s="70"/>
      <c r="C27" s="275"/>
      <c r="G27" s="99"/>
      <c r="H27" s="65"/>
      <c r="I27" s="65"/>
      <c r="J27" s="65"/>
      <c r="K27" s="96"/>
      <c r="L27" s="98"/>
    </row>
    <row r="28" spans="2:16" ht="20.149999999999999" customHeight="1" x14ac:dyDescent="0.45">
      <c r="B28" s="70"/>
      <c r="C28" s="45"/>
      <c r="D28" s="440"/>
      <c r="E28" s="440"/>
      <c r="F28" s="440"/>
      <c r="G28" s="99"/>
      <c r="H28" s="65"/>
      <c r="I28" s="431"/>
      <c r="J28" s="431"/>
      <c r="K28" s="96"/>
      <c r="L28" s="98"/>
    </row>
    <row r="29" spans="2:16" ht="20.149999999999999" customHeight="1" x14ac:dyDescent="0.45">
      <c r="B29" s="70"/>
      <c r="C29" s="45"/>
      <c r="D29" s="430"/>
      <c r="E29" s="430"/>
      <c r="F29" s="430"/>
      <c r="G29" s="233"/>
      <c r="H29" s="65"/>
      <c r="I29" s="431"/>
      <c r="J29" s="431"/>
      <c r="K29" s="22"/>
      <c r="L29" s="71"/>
    </row>
    <row r="30" spans="2:16" ht="20.149999999999999" customHeight="1" x14ac:dyDescent="0.45">
      <c r="B30" s="70"/>
      <c r="L30" s="71"/>
    </row>
    <row r="31" spans="2:16" ht="20.149999999999999" customHeight="1" x14ac:dyDescent="0.45">
      <c r="B31" s="70"/>
      <c r="L31" s="71"/>
    </row>
    <row r="32" spans="2:16" ht="20.149999999999999" customHeight="1" thickBot="1" x14ac:dyDescent="0.5">
      <c r="B32" s="24"/>
      <c r="C32" s="25"/>
      <c r="D32" s="473"/>
      <c r="E32" s="473"/>
      <c r="F32" s="473"/>
      <c r="G32" s="25"/>
      <c r="H32" s="66"/>
      <c r="I32" s="66"/>
      <c r="J32" s="66"/>
      <c r="K32" s="26"/>
      <c r="L32" s="27"/>
    </row>
    <row r="33" spans="2:13" ht="20.149999999999999" customHeight="1" thickBot="1" x14ac:dyDescent="0.5">
      <c r="B33" s="28"/>
      <c r="L33" s="29"/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>
        <f>SUM(L18:L33)</f>
        <v>89</v>
      </c>
      <c r="M34" s="95">
        <f>SUM(P6:P31)-(L37*0.02)</f>
        <v>22.108148148148143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>
        <f>L34-L36</f>
        <v>6.5925925925925952</v>
      </c>
    </row>
    <row r="36" spans="2:13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>
        <f>L34/108*100</f>
        <v>82.407407407407405</v>
      </c>
    </row>
    <row r="37" spans="2:13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0.08</v>
      </c>
      <c r="L37" s="44">
        <f>L36*K37</f>
        <v>6.5925925925925926</v>
      </c>
    </row>
    <row r="38" spans="2:13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>
        <f>L36+L37</f>
        <v>89</v>
      </c>
    </row>
    <row r="39" spans="2:13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3" ht="20.149999999999999" customHeight="1" x14ac:dyDescent="0.45">
      <c r="B40" s="183" t="s">
        <v>749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34"/>
      <c r="C44" s="35"/>
      <c r="D44" s="35"/>
      <c r="J44" s="35"/>
      <c r="K44" s="35"/>
      <c r="L44" s="36"/>
    </row>
    <row r="45" spans="2:13" ht="20.149999999999999" customHeight="1" x14ac:dyDescent="0.45">
      <c r="B45" s="28" t="s">
        <v>24</v>
      </c>
      <c r="J45" s="60" t="s">
        <v>25</v>
      </c>
      <c r="L45" s="29"/>
    </row>
    <row r="46" spans="2:13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33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32:F32"/>
    <mergeCell ref="J34:K34"/>
    <mergeCell ref="J36:K36"/>
    <mergeCell ref="J38:K38"/>
    <mergeCell ref="D22:F22"/>
    <mergeCell ref="I22:J22"/>
    <mergeCell ref="I23:J23"/>
    <mergeCell ref="D28:F28"/>
    <mergeCell ref="I28:J28"/>
    <mergeCell ref="D29:F29"/>
    <mergeCell ref="I29:J29"/>
  </mergeCells>
  <conditionalFormatting sqref="C29">
    <cfRule type="duplicateValues" dxfId="148" priority="1"/>
    <cfRule type="duplicateValues" dxfId="147" priority="2"/>
  </conditionalFormatting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D481E-EAB6-49F6-B82E-B1BEE4394553}">
  <sheetPr codeName="Sheet66">
    <tabColor rgb="FFFFC000"/>
    <pageSetUpPr fitToPage="1"/>
  </sheetPr>
  <dimension ref="B1:Q44"/>
  <sheetViews>
    <sheetView topLeftCell="B1" zoomScaleNormal="100" workbookViewId="0">
      <selection activeCell="B1" sqref="B1:L4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6.453125" style="60" customWidth="1"/>
    <col min="7" max="7" width="8.54296875" style="60" customWidth="1"/>
    <col min="8" max="8" width="17.17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464</v>
      </c>
      <c r="J10" s="17" t="s">
        <v>26</v>
      </c>
      <c r="K10" s="455">
        <v>202310691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Juice Man 来 来                                        Blk 11 Market &amp; Food Centre, Telok Blangah Crescent . #01-79 Singapore 090011</v>
      </c>
      <c r="G11" s="445"/>
      <c r="H11" s="446"/>
      <c r="J11" s="18" t="s">
        <v>9</v>
      </c>
      <c r="K11" s="460">
        <v>45229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1507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  <c r="N15" s="69" t="s">
        <v>609</v>
      </c>
    </row>
    <row r="16" spans="2:14" ht="19" thickBot="1" x14ac:dyDescent="0.5">
      <c r="J16" s="45"/>
    </row>
    <row r="17" spans="2:17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538" t="s">
        <v>57</v>
      </c>
      <c r="J17" s="539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7" ht="20.149999999999999" customHeight="1" x14ac:dyDescent="0.45">
      <c r="B18" s="21"/>
      <c r="C18" s="338" t="s">
        <v>862</v>
      </c>
      <c r="D18" s="494" t="str">
        <f>VLOOKUP(C18,'Sales Master'!B$3:D$644,2,0)</f>
        <v>Fresh Soursop Seedless 红毛榴莲(无)</v>
      </c>
      <c r="E18" s="494"/>
      <c r="F18" s="494"/>
      <c r="G18" s="45">
        <v>2</v>
      </c>
      <c r="H18" s="241" t="str">
        <f>VLOOKUP(C18,'Sales Master'!B$3:F$936,5,0)</f>
        <v>Box/盒</v>
      </c>
      <c r="I18" s="432" t="str">
        <f>VLOOKUP(C18,'Sales Master'!B$3:E$936,4,0)</f>
        <v>DO!</v>
      </c>
      <c r="J18" s="432"/>
      <c r="K18" s="22">
        <f>VLOOKUP(C18,'Sales Master'!B$3:BI$527,60,0)</f>
        <v>10</v>
      </c>
      <c r="L18" s="71">
        <f>K18*G18</f>
        <v>20</v>
      </c>
      <c r="N18" s="247">
        <f>VLOOKUP(C18,'Sales Master'!$B$3:$FA$3051,156,0)</f>
        <v>5.13</v>
      </c>
      <c r="O18" s="247">
        <f>K18-N18</f>
        <v>4.87</v>
      </c>
      <c r="P18" s="247">
        <f>O18*G18</f>
        <v>9.74</v>
      </c>
      <c r="Q18" s="95">
        <f>G18*N18*0.07</f>
        <v>0.71820000000000006</v>
      </c>
    </row>
    <row r="19" spans="2:17" ht="20.149999999999999" customHeight="1" x14ac:dyDescent="0.45">
      <c r="B19" s="21"/>
      <c r="C19" s="338" t="s">
        <v>820</v>
      </c>
      <c r="D19" s="430" t="str">
        <f>VLOOKUP(C19,'Sales Master'!B$3:D$644,2,0)</f>
        <v>Durian Puree 榴莲浆</v>
      </c>
      <c r="E19" s="430"/>
      <c r="F19" s="430"/>
      <c r="G19" s="45">
        <v>2</v>
      </c>
      <c r="H19" s="241" t="str">
        <f>VLOOKUP(C19,'Sales Master'!B$3:F$936,5,0)</f>
        <v>Box/盒</v>
      </c>
      <c r="I19" s="432" t="str">
        <f>VLOOKUP(C19,'Sales Master'!B$3:E$936,4,0)</f>
        <v>DO!</v>
      </c>
      <c r="J19" s="432"/>
      <c r="K19" s="22">
        <f>VLOOKUP(C19,'Sales Master'!B$3:BI$527,60,0)</f>
        <v>9</v>
      </c>
      <c r="L19" s="71">
        <f t="shared" ref="L19" si="0">K19*G19</f>
        <v>18</v>
      </c>
      <c r="N19" s="247">
        <f>VLOOKUP(C19,'Sales Master'!$B$3:$FA$3051,156,0)</f>
        <v>4.71</v>
      </c>
      <c r="O19" s="247">
        <f t="shared" ref="O19" si="1">K19-N19</f>
        <v>4.29</v>
      </c>
      <c r="P19" s="247">
        <f t="shared" ref="P19" si="2">O19*G19</f>
        <v>8.58</v>
      </c>
      <c r="Q19" s="95">
        <f>G19*N19*0.07</f>
        <v>0.6594000000000001</v>
      </c>
    </row>
    <row r="20" spans="2:17" ht="20.149999999999999" customHeight="1" x14ac:dyDescent="0.45">
      <c r="B20" s="70"/>
      <c r="C20" s="338" t="s">
        <v>833</v>
      </c>
      <c r="D20" s="430" t="str">
        <f>VLOOKUP(C20,'Sales Master'!B$3:D$644,2,0)</f>
        <v>Coconut Sugar Syrup 椰糖浆</v>
      </c>
      <c r="E20" s="430"/>
      <c r="F20" s="430"/>
      <c r="G20" s="45">
        <v>1</v>
      </c>
      <c r="H20" s="241" t="str">
        <f>VLOOKUP(C20,'Sales Master'!B$3:F$936,5,0)</f>
        <v>4L/ Btl支</v>
      </c>
      <c r="I20" s="432" t="str">
        <f>VLOOKUP(C20,'Sales Master'!B$3:E$936,4,0)</f>
        <v>DO!</v>
      </c>
      <c r="J20" s="432"/>
      <c r="K20" s="22">
        <f>VLOOKUP(C20,'Sales Master'!B$3:BI$527,60,0)</f>
        <v>15</v>
      </c>
      <c r="L20" s="71">
        <f t="shared" ref="L20:L21" si="3">K20*G20</f>
        <v>15</v>
      </c>
      <c r="N20" s="247">
        <f>VLOOKUP(C20,'Sales Master'!$B$3:$FA$3051,156,0)</f>
        <v>8.89</v>
      </c>
      <c r="O20" s="247">
        <f t="shared" ref="O20:O21" si="4">K20-N20</f>
        <v>6.1099999999999994</v>
      </c>
      <c r="P20" s="247">
        <f t="shared" ref="P20:P21" si="5">O20*G20</f>
        <v>6.1099999999999994</v>
      </c>
      <c r="Q20" s="95">
        <f t="shared" ref="Q20:Q21" si="6">G20*N20*0.07</f>
        <v>0.62230000000000008</v>
      </c>
    </row>
    <row r="21" spans="2:17" ht="20.149999999999999" customHeight="1" x14ac:dyDescent="0.45">
      <c r="B21" s="70"/>
      <c r="C21" s="338" t="s">
        <v>841</v>
      </c>
      <c r="D21" s="536" t="str">
        <f>VLOOKUP(C21,'Sales Master'!B$3:D$644,2,0)</f>
        <v>Citrus Plum Concentrate Juice 柑桔梅子汁</v>
      </c>
      <c r="E21" s="536"/>
      <c r="F21" s="536"/>
      <c r="G21" s="45">
        <v>50</v>
      </c>
      <c r="H21" s="241" t="str">
        <f>VLOOKUP(C21,'Sales Master'!B$3:F$936,5,0)</f>
        <v>80 GM/ Pkt包</v>
      </c>
      <c r="I21" s="432" t="str">
        <f>VLOOKUP(C21,'Sales Master'!B$3:E$936,4,0)</f>
        <v>-</v>
      </c>
      <c r="J21" s="432"/>
      <c r="K21" s="22">
        <f>VLOOKUP(C21,'Sales Master'!B$3:BI$527,60,0)</f>
        <v>0.8</v>
      </c>
      <c r="L21" s="71">
        <f t="shared" si="3"/>
        <v>40</v>
      </c>
      <c r="N21" s="247">
        <f>VLOOKUP(C21,'Sales Master'!$B$3:$FA$3051,156,0)</f>
        <v>0.4</v>
      </c>
      <c r="O21" s="247">
        <f t="shared" si="4"/>
        <v>0.4</v>
      </c>
      <c r="P21" s="247">
        <f t="shared" si="5"/>
        <v>20</v>
      </c>
      <c r="Q21" s="95">
        <f t="shared" si="6"/>
        <v>1.4000000000000001</v>
      </c>
    </row>
    <row r="22" spans="2:17" ht="20.149999999999999" customHeight="1" x14ac:dyDescent="0.45">
      <c r="B22" s="70"/>
      <c r="C22" s="338"/>
      <c r="D22" s="430"/>
      <c r="E22" s="430"/>
      <c r="F22" s="430"/>
      <c r="G22" s="45"/>
      <c r="H22" s="241"/>
      <c r="I22" s="432"/>
      <c r="J22" s="432"/>
      <c r="K22" s="22"/>
      <c r="L22" s="71"/>
      <c r="N22" s="247"/>
      <c r="O22" s="247"/>
      <c r="P22" s="247"/>
    </row>
    <row r="23" spans="2:17" ht="20.149999999999999" customHeight="1" x14ac:dyDescent="0.45">
      <c r="B23" s="70"/>
      <c r="D23" s="69"/>
      <c r="E23" s="69"/>
      <c r="F23" s="69"/>
      <c r="G23" s="45"/>
      <c r="H23" s="241"/>
      <c r="I23" s="322"/>
      <c r="J23" s="322"/>
      <c r="K23" s="22"/>
      <c r="L23" s="71"/>
      <c r="N23" s="247"/>
      <c r="O23" s="247"/>
      <c r="P23" s="247"/>
    </row>
    <row r="24" spans="2:17" ht="20.149999999999999" customHeight="1" x14ac:dyDescent="0.45">
      <c r="B24" s="70"/>
      <c r="D24" s="69"/>
      <c r="E24" s="69"/>
      <c r="F24" s="69"/>
      <c r="G24" s="45"/>
      <c r="H24" s="241"/>
      <c r="I24" s="322"/>
      <c r="J24" s="322"/>
      <c r="K24" s="22"/>
      <c r="L24" s="71"/>
      <c r="N24" s="247"/>
      <c r="O24" s="247"/>
      <c r="P24" s="247"/>
    </row>
    <row r="25" spans="2:17" ht="20.149999999999999" customHeight="1" x14ac:dyDescent="0.45">
      <c r="B25" s="70"/>
      <c r="C25" s="140"/>
      <c r="E25" s="69"/>
      <c r="F25" s="69"/>
      <c r="G25" s="99"/>
      <c r="H25" s="65"/>
      <c r="I25" s="65"/>
      <c r="J25" s="65"/>
      <c r="K25" s="96"/>
      <c r="L25" s="71"/>
      <c r="N25" s="247"/>
      <c r="O25" s="247"/>
      <c r="P25" s="247"/>
    </row>
    <row r="26" spans="2:17" ht="20.149999999999999" customHeight="1" x14ac:dyDescent="0.45">
      <c r="B26" s="70"/>
      <c r="C26" s="338"/>
      <c r="D26" s="430"/>
      <c r="E26" s="430"/>
      <c r="F26" s="430"/>
      <c r="G26" s="99"/>
      <c r="H26" s="241"/>
      <c r="I26" s="432"/>
      <c r="J26" s="432"/>
      <c r="K26" s="96"/>
      <c r="L26" s="71"/>
      <c r="N26" s="247"/>
      <c r="O26" s="247"/>
      <c r="P26" s="247"/>
    </row>
    <row r="27" spans="2:17" ht="20.149999999999999" customHeight="1" x14ac:dyDescent="0.45">
      <c r="B27" s="21"/>
      <c r="C27" s="69"/>
      <c r="G27" s="45"/>
      <c r="H27" s="65"/>
      <c r="I27" s="206"/>
      <c r="J27" s="206"/>
      <c r="K27" s="22"/>
      <c r="L27" s="23"/>
    </row>
    <row r="28" spans="2:17" ht="20.149999999999999" customHeight="1" x14ac:dyDescent="0.45">
      <c r="B28" s="21"/>
      <c r="C28" s="305" t="s">
        <v>1736</v>
      </c>
      <c r="E28" s="69"/>
      <c r="F28" s="69"/>
      <c r="G28" s="99"/>
      <c r="H28" s="65"/>
      <c r="I28" s="65"/>
      <c r="J28" s="65"/>
      <c r="K28" s="22"/>
      <c r="L28" s="23"/>
    </row>
    <row r="29" spans="2:17" ht="20.149999999999999" customHeight="1" x14ac:dyDescent="0.45">
      <c r="B29" s="21"/>
      <c r="C29" s="338" t="s">
        <v>1080</v>
      </c>
      <c r="D29" s="430" t="str">
        <f>VLOOKUP(C29,'Sales Master'!B$3:D$643,2,0)</f>
        <v>Fine Sugar 白糖</v>
      </c>
      <c r="E29" s="430"/>
      <c r="F29" s="430"/>
      <c r="G29" s="99">
        <v>1</v>
      </c>
      <c r="H29" s="241" t="str">
        <f>VLOOKUP(C29,'Sales Master'!B$3:F$936,5,0)</f>
        <v>25 KGS</v>
      </c>
      <c r="I29" s="432" t="str">
        <f>VLOOKUP(C29,'Sales Master'!B$3:E$936,4,0)</f>
        <v>MITR PHOL</v>
      </c>
      <c r="J29" s="432"/>
      <c r="K29" s="22">
        <v>34</v>
      </c>
      <c r="L29" s="23"/>
    </row>
    <row r="30" spans="2:17" ht="20.149999999999999" customHeight="1" thickBot="1" x14ac:dyDescent="0.5">
      <c r="B30" s="24"/>
      <c r="C30" s="25"/>
      <c r="D30" s="473"/>
      <c r="E30" s="473"/>
      <c r="F30" s="473"/>
      <c r="G30" s="25"/>
      <c r="H30" s="66"/>
      <c r="I30" s="66"/>
      <c r="J30" s="66"/>
      <c r="K30" s="26"/>
      <c r="L30" s="27"/>
    </row>
    <row r="31" spans="2:17" ht="20.149999999999999" customHeight="1" thickBot="1" x14ac:dyDescent="0.5">
      <c r="B31" s="28"/>
      <c r="L31" s="29"/>
    </row>
    <row r="32" spans="2:17" ht="20.149999999999999" customHeight="1" x14ac:dyDescent="0.45">
      <c r="B32" s="11" t="s">
        <v>16</v>
      </c>
      <c r="C32" s="10"/>
      <c r="D32" s="10"/>
      <c r="E32" s="10"/>
      <c r="F32" s="10"/>
      <c r="G32" s="10"/>
      <c r="H32" s="10"/>
      <c r="I32" s="10"/>
      <c r="J32" s="474" t="s">
        <v>13</v>
      </c>
      <c r="K32" s="475"/>
      <c r="L32" s="30">
        <f>SUM(L18:L31)</f>
        <v>93</v>
      </c>
      <c r="M32" s="95">
        <f>SUM(P8:P30)-L32*0.02</f>
        <v>42.57</v>
      </c>
    </row>
    <row r="33" spans="2:12" ht="20.149999999999999" customHeight="1" x14ac:dyDescent="0.45">
      <c r="B33" s="11" t="s">
        <v>17</v>
      </c>
      <c r="C33" s="10"/>
      <c r="D33" s="10"/>
      <c r="E33" s="10"/>
      <c r="F33" s="10"/>
      <c r="G33" s="10"/>
      <c r="H33" s="10"/>
      <c r="I33" s="10"/>
      <c r="J33" s="110" t="s">
        <v>553</v>
      </c>
      <c r="K33" s="113">
        <v>6.54E-2</v>
      </c>
      <c r="L33" s="32">
        <f>L35</f>
        <v>6.8888888888888893</v>
      </c>
    </row>
    <row r="34" spans="2:12" ht="20.149999999999999" customHeight="1" x14ac:dyDescent="0.45">
      <c r="B34" s="11" t="s">
        <v>18</v>
      </c>
      <c r="C34" s="10"/>
      <c r="D34" s="10"/>
      <c r="E34" s="10"/>
      <c r="F34" s="10"/>
      <c r="G34" s="10"/>
      <c r="H34" s="10"/>
      <c r="I34" s="10"/>
      <c r="J34" s="476" t="s">
        <v>555</v>
      </c>
      <c r="K34" s="477"/>
      <c r="L34" s="114">
        <f>L32/108*100</f>
        <v>86.111111111111114</v>
      </c>
    </row>
    <row r="35" spans="2:12" ht="20.149999999999999" customHeight="1" x14ac:dyDescent="0.45">
      <c r="B35" s="11" t="s">
        <v>22</v>
      </c>
      <c r="C35" s="10"/>
      <c r="D35" s="10"/>
      <c r="E35" s="10"/>
      <c r="F35" s="10"/>
      <c r="G35" s="10"/>
      <c r="H35" s="10"/>
      <c r="I35" s="10"/>
      <c r="J35" s="111" t="s">
        <v>554</v>
      </c>
      <c r="K35" s="112">
        <v>0.08</v>
      </c>
      <c r="L35" s="44">
        <f>L34*K35</f>
        <v>6.8888888888888893</v>
      </c>
    </row>
    <row r="36" spans="2:12" ht="20.149999999999999" customHeight="1" thickBot="1" x14ac:dyDescent="0.5">
      <c r="B36" s="11" t="s">
        <v>748</v>
      </c>
      <c r="C36" s="10"/>
      <c r="D36" s="10"/>
      <c r="E36" s="10"/>
      <c r="F36" s="10"/>
      <c r="G36" s="10"/>
      <c r="H36" s="10"/>
      <c r="I36" s="10"/>
      <c r="J36" s="478" t="s">
        <v>21</v>
      </c>
      <c r="K36" s="479"/>
      <c r="L36" s="33">
        <f>L34+L35</f>
        <v>93</v>
      </c>
    </row>
    <row r="37" spans="2:12" ht="20.149999999999999" customHeight="1" x14ac:dyDescent="0.45">
      <c r="B37" s="11" t="s">
        <v>23</v>
      </c>
      <c r="C37" s="10"/>
      <c r="D37" s="10"/>
      <c r="E37" s="10"/>
      <c r="F37" s="10"/>
      <c r="G37" s="10"/>
      <c r="H37" s="10"/>
      <c r="I37" s="10"/>
      <c r="L37" s="29"/>
    </row>
    <row r="38" spans="2:12" ht="20.149999999999999" customHeight="1" x14ac:dyDescent="0.45">
      <c r="B38" s="183" t="s">
        <v>749</v>
      </c>
      <c r="L38" s="29"/>
    </row>
    <row r="39" spans="2:12" ht="20.149999999999999" customHeight="1" x14ac:dyDescent="0.45">
      <c r="B39" s="28"/>
      <c r="K39" s="60" t="s">
        <v>334</v>
      </c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28"/>
      <c r="L41" s="29"/>
    </row>
    <row r="42" spans="2:12" ht="20.149999999999999" customHeight="1" x14ac:dyDescent="0.45">
      <c r="B42" s="34"/>
      <c r="C42" s="35"/>
      <c r="D42" s="35"/>
      <c r="J42" s="35"/>
      <c r="K42" s="35"/>
      <c r="L42" s="36"/>
    </row>
    <row r="43" spans="2:12" ht="20.149999999999999" customHeight="1" x14ac:dyDescent="0.45">
      <c r="B43" s="28" t="s">
        <v>24</v>
      </c>
      <c r="J43" s="60" t="s">
        <v>25</v>
      </c>
      <c r="L43" s="29"/>
    </row>
    <row r="44" spans="2:12" ht="19" thickBot="1" x14ac:dyDescent="0.5">
      <c r="B44" s="37"/>
      <c r="C44" s="62"/>
      <c r="D44" s="62"/>
      <c r="E44" s="62"/>
      <c r="F44" s="62"/>
      <c r="G44" s="62"/>
      <c r="H44" s="62"/>
      <c r="I44" s="62"/>
      <c r="J44" s="62"/>
      <c r="K44" s="62"/>
      <c r="L44" s="38"/>
    </row>
  </sheetData>
  <mergeCells count="33">
    <mergeCell ref="J34:K34"/>
    <mergeCell ref="I20:J20"/>
    <mergeCell ref="I26:J26"/>
    <mergeCell ref="J36:K36"/>
    <mergeCell ref="D30:F30"/>
    <mergeCell ref="J32:K32"/>
    <mergeCell ref="D20:F20"/>
    <mergeCell ref="D26:F26"/>
    <mergeCell ref="D29:F29"/>
    <mergeCell ref="I29:J29"/>
    <mergeCell ref="D21:F21"/>
    <mergeCell ref="I21:J21"/>
    <mergeCell ref="D22:F22"/>
    <mergeCell ref="I22:J22"/>
    <mergeCell ref="D17:F17"/>
    <mergeCell ref="I17:J17"/>
    <mergeCell ref="I18:J18"/>
    <mergeCell ref="I19:J19"/>
    <mergeCell ref="D18:F18"/>
    <mergeCell ref="D19:F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5">
    <cfRule type="duplicateValues" dxfId="60" priority="1"/>
  </conditionalFormatting>
  <conditionalFormatting sqref="C26">
    <cfRule type="duplicateValues" dxfId="59" priority="2"/>
  </conditionalFormatting>
  <conditionalFormatting sqref="C28">
    <cfRule type="duplicateValues" dxfId="58" priority="3"/>
  </conditionalFormatting>
  <conditionalFormatting sqref="C29">
    <cfRule type="duplicateValues" dxfId="57" priority="4"/>
  </conditionalFormatting>
  <pageMargins left="0.70866141732283472" right="0.31496062992125984" top="0.55118110236220474" bottom="0" header="0.31496062992125984" footer="0.31496062992125984"/>
  <pageSetup paperSize="9" scale="75" fitToHeight="0" orientation="portrait" horizontalDpi="300" verticalDpi="3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99B3B-C7F2-412A-A252-A92BFF6BD355}">
  <sheetPr codeName="Sheet90">
    <tabColor rgb="FFFFC000"/>
    <pageSetUpPr fitToPage="1"/>
  </sheetPr>
  <dimension ref="B1:V50"/>
  <sheetViews>
    <sheetView topLeftCell="A29" zoomScaleNormal="100" workbookViewId="0">
      <selection activeCell="B1" sqref="B1:L5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9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9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9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9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9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9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  <c r="N6" s="437" t="s">
        <v>618</v>
      </c>
      <c r="O6" s="437"/>
      <c r="P6" s="437"/>
      <c r="Q6" s="437"/>
    </row>
    <row r="7" spans="2:19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9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9" ht="19" thickBot="1" x14ac:dyDescent="0.5">
      <c r="B9" s="12"/>
    </row>
    <row r="10" spans="2:19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488</v>
      </c>
      <c r="J10" s="17" t="s">
        <v>26</v>
      </c>
      <c r="K10" s="455">
        <v>202310465</v>
      </c>
      <c r="L10" s="456"/>
    </row>
    <row r="11" spans="2:19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Hougang 118                                          Hougang Ave 1, Blk.118.                    #01-1190, Singapore 530118.</v>
      </c>
      <c r="G11" s="445"/>
      <c r="H11" s="446"/>
      <c r="J11" s="18" t="s">
        <v>9</v>
      </c>
      <c r="K11" s="460">
        <v>45219</v>
      </c>
      <c r="L11" s="461"/>
    </row>
    <row r="12" spans="2:19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9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9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9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9" ht="19" thickBot="1" x14ac:dyDescent="0.5">
      <c r="J16" s="45"/>
      <c r="N16" s="117"/>
      <c r="O16" s="117"/>
      <c r="P16" s="117"/>
      <c r="Q16" s="117"/>
      <c r="R16" s="117">
        <v>5</v>
      </c>
      <c r="S16" s="117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20.149999999999999" customHeight="1" x14ac:dyDescent="0.45">
      <c r="B18" s="21"/>
      <c r="C18" s="338" t="s">
        <v>830</v>
      </c>
      <c r="D18" s="430" t="str">
        <f>VLOOKUP(C18,'Sales Master'!B$3:D$642,2,0)</f>
        <v>Bobo ChaCha Cubes 摩摩喳喳</v>
      </c>
      <c r="E18" s="430"/>
      <c r="F18" s="430"/>
      <c r="G18" s="45">
        <v>1</v>
      </c>
      <c r="H18" s="241" t="str">
        <f>VLOOKUP(C18,'Sales Master'!B$3:F$936,5,0)</f>
        <v>800 GM/ Bag包</v>
      </c>
      <c r="I18" s="432" t="str">
        <f>VLOOKUP(C18,'Sales Master'!B$3:E$936,4,0)</f>
        <v>DO!</v>
      </c>
      <c r="J18" s="432"/>
      <c r="K18" s="22">
        <f>VLOOKUP(C18,'Sales Master'!B$3:AQ$527,42,0)</f>
        <v>8</v>
      </c>
      <c r="L18" s="71">
        <f t="shared" ref="L18" si="0">K18*G18</f>
        <v>8</v>
      </c>
      <c r="N18" s="247">
        <f>VLOOKUP(C18,'Sales Master'!$B$3:$FA$3051,156,0)</f>
        <v>0.89</v>
      </c>
      <c r="O18" s="247">
        <f t="shared" ref="O18" si="1">K18-N18</f>
        <v>7.11</v>
      </c>
      <c r="P18" s="247">
        <f t="shared" ref="P18" si="2">O18*G18</f>
        <v>7.11</v>
      </c>
      <c r="R18" s="60">
        <v>10</v>
      </c>
      <c r="S18" s="60" t="s">
        <v>33</v>
      </c>
      <c r="T18" s="60" t="s">
        <v>65</v>
      </c>
      <c r="V18" s="60">
        <v>1.6</v>
      </c>
    </row>
    <row r="19" spans="2:22" ht="20.149999999999999" customHeight="1" x14ac:dyDescent="0.45">
      <c r="B19" s="70"/>
      <c r="C19" s="338" t="s">
        <v>924</v>
      </c>
      <c r="D19" s="430" t="str">
        <f>VLOOKUP(C19,'Sales Master'!B$3:D$642,2,0)</f>
        <v>Red Bean 红豆</v>
      </c>
      <c r="E19" s="430"/>
      <c r="F19" s="430"/>
      <c r="G19" s="45">
        <v>1</v>
      </c>
      <c r="H19" s="241" t="str">
        <f>VLOOKUP(C19,'Sales Master'!B$3:F$936,5,0)</f>
        <v>5 kgs</v>
      </c>
      <c r="I19" s="432" t="str">
        <f>VLOOKUP(C19,'Sales Master'!B$3:E$936,4,0)</f>
        <v>-</v>
      </c>
      <c r="J19" s="432"/>
      <c r="K19" s="22">
        <f>VLOOKUP(C19,'Sales Master'!B$3:AQ$527,42,0)</f>
        <v>19.5</v>
      </c>
      <c r="L19" s="71">
        <f>K19*G19</f>
        <v>19.5</v>
      </c>
      <c r="N19" s="247">
        <f>VLOOKUP(C19,'Sales Master'!$B$3:$FA$3051,156,0)</f>
        <v>13.5</v>
      </c>
      <c r="O19" s="247">
        <f>K19-N19</f>
        <v>6</v>
      </c>
      <c r="P19" s="247">
        <f>O19*G19</f>
        <v>6</v>
      </c>
      <c r="Q19" s="117"/>
      <c r="R19" s="117"/>
      <c r="S19" s="117"/>
    </row>
    <row r="20" spans="2:22" ht="20.149999999999999" customHeight="1" x14ac:dyDescent="0.45">
      <c r="B20" s="21"/>
      <c r="C20" s="338" t="s">
        <v>937</v>
      </c>
      <c r="D20" s="430" t="str">
        <f>VLOOKUP(C20,'Sales Master'!B$3:D$642,2,0)</f>
        <v>Green Bean 绿豆</v>
      </c>
      <c r="E20" s="430"/>
      <c r="F20" s="430"/>
      <c r="G20" s="45">
        <v>1</v>
      </c>
      <c r="H20" s="241" t="str">
        <f>VLOOKUP(C20,'Sales Master'!B$3:F$936,5,0)</f>
        <v>5 KGS</v>
      </c>
      <c r="I20" s="432" t="str">
        <f>VLOOKUP(C20,'Sales Master'!B$3:E$936,4,0)</f>
        <v>-</v>
      </c>
      <c r="J20" s="432"/>
      <c r="K20" s="22">
        <f>VLOOKUP(C20,'Sales Master'!B$3:AQ$527,42,0)</f>
        <v>14</v>
      </c>
      <c r="L20" s="71">
        <f>K20*G20</f>
        <v>14</v>
      </c>
      <c r="N20" s="247">
        <f>VLOOKUP(C20,'Sales Master'!$B$3:$FA$3051,156,0)</f>
        <v>9.7199999999999989</v>
      </c>
      <c r="O20" s="247">
        <f>K20-N20</f>
        <v>4.2800000000000011</v>
      </c>
      <c r="P20" s="247">
        <f>O20*G20</f>
        <v>4.2800000000000011</v>
      </c>
    </row>
    <row r="21" spans="2:22" ht="20.149999999999999" customHeight="1" x14ac:dyDescent="0.45">
      <c r="B21" s="21"/>
      <c r="C21" s="338" t="s">
        <v>949</v>
      </c>
      <c r="D21" s="430" t="str">
        <f>VLOOKUP(C21,'Sales Master'!B$3:D$642,2,0)</f>
        <v>Black Glutinous Rice 黑糯米</v>
      </c>
      <c r="E21" s="430"/>
      <c r="F21" s="430"/>
      <c r="G21" s="45">
        <v>1</v>
      </c>
      <c r="H21" s="241" t="str">
        <f>VLOOKUP(C21,'Sales Master'!B$3:F$936,5,0)</f>
        <v>5 kgs</v>
      </c>
      <c r="I21" s="432" t="str">
        <f>VLOOKUP(C21,'Sales Master'!B$3:E$936,4,0)</f>
        <v>-</v>
      </c>
      <c r="J21" s="432"/>
      <c r="K21" s="22">
        <f>VLOOKUP(C21,'Sales Master'!B$3:AQ$527,42,0)</f>
        <v>18</v>
      </c>
      <c r="L21" s="71">
        <f t="shared" ref="L21:L22" si="3">K21*G21</f>
        <v>18</v>
      </c>
      <c r="N21" s="247">
        <f>VLOOKUP(C21,'Sales Master'!$B$3:$FA$3051,156,0)</f>
        <v>12.960000000000003</v>
      </c>
      <c r="O21" s="247">
        <f t="shared" ref="O21:O22" si="4">K21-N21</f>
        <v>5.0399999999999974</v>
      </c>
      <c r="P21" s="247">
        <f t="shared" ref="P21:P22" si="5">O21*G21</f>
        <v>5.0399999999999974</v>
      </c>
    </row>
    <row r="22" spans="2:22" ht="20.149999999999999" customHeight="1" x14ac:dyDescent="0.45">
      <c r="B22" s="21"/>
      <c r="C22" s="338" t="s">
        <v>968</v>
      </c>
      <c r="D22" s="430" t="str">
        <f>VLOOKUP(C22,'Sales Master'!B$3:D$642,2,0)</f>
        <v>Dried Longan 龙眼干</v>
      </c>
      <c r="E22" s="430"/>
      <c r="F22" s="430"/>
      <c r="G22" s="45">
        <v>1</v>
      </c>
      <c r="H22" s="241" t="str">
        <f>VLOOKUP(C22,'Sales Master'!B$3:F$936,5,0)</f>
        <v>1 kg</v>
      </c>
      <c r="I22" s="432" t="str">
        <f>VLOOKUP(C22,'Sales Master'!B$3:E$936,4,0)</f>
        <v>AAA</v>
      </c>
      <c r="J22" s="432"/>
      <c r="K22" s="22">
        <f>VLOOKUP(C22,'Sales Master'!B$3:AQ$527,42,0)</f>
        <v>13</v>
      </c>
      <c r="L22" s="71">
        <f t="shared" si="3"/>
        <v>13</v>
      </c>
      <c r="N22" s="247">
        <f>VLOOKUP(C22,'Sales Master'!$B$3:$FA$3051,156,0)</f>
        <v>8.8000000000000007</v>
      </c>
      <c r="O22" s="247">
        <f t="shared" si="4"/>
        <v>4.1999999999999993</v>
      </c>
      <c r="P22" s="247">
        <f t="shared" si="5"/>
        <v>4.1999999999999993</v>
      </c>
    </row>
    <row r="23" spans="2:22" ht="20.149999999999999" customHeight="1" x14ac:dyDescent="0.45">
      <c r="B23" s="70"/>
      <c r="C23" s="338" t="s">
        <v>1080</v>
      </c>
      <c r="D23" s="430" t="str">
        <f>VLOOKUP(C23,'Sales Master'!B$3:D$642,2,0)</f>
        <v>Fine Sugar 白糖</v>
      </c>
      <c r="E23" s="430"/>
      <c r="F23" s="430"/>
      <c r="G23" s="45">
        <v>1</v>
      </c>
      <c r="H23" s="241" t="str">
        <f>VLOOKUP(C23,'Sales Master'!B$3:F$936,5,0)</f>
        <v>25 KGS</v>
      </c>
      <c r="I23" s="432" t="str">
        <f>VLOOKUP(C23,'Sales Master'!B$3:E$936,4,0)</f>
        <v>MITR PHOL</v>
      </c>
      <c r="J23" s="432"/>
      <c r="K23" s="22">
        <f>VLOOKUP(C23,'Sales Master'!B$3:AQ$527,42,0)</f>
        <v>33</v>
      </c>
      <c r="L23" s="71">
        <f t="shared" ref="L23" si="6">K23*G23</f>
        <v>33</v>
      </c>
      <c r="N23" s="247">
        <f>VLOOKUP(C23,'Sales Master'!$B$3:$FA$3051,156,0)</f>
        <v>26.784000000000002</v>
      </c>
      <c r="O23" s="247">
        <f t="shared" ref="O23" si="7">K23-N23</f>
        <v>6.2159999999999975</v>
      </c>
      <c r="P23" s="247">
        <f t="shared" ref="P23" si="8">O23*G23</f>
        <v>6.2159999999999975</v>
      </c>
      <c r="Q23" s="117"/>
      <c r="R23" s="117"/>
      <c r="S23" s="117"/>
    </row>
    <row r="24" spans="2:22" ht="20.149999999999999" customHeight="1" x14ac:dyDescent="0.45">
      <c r="B24" s="21"/>
      <c r="C24" s="338"/>
      <c r="D24" s="430"/>
      <c r="E24" s="430"/>
      <c r="F24" s="430"/>
      <c r="G24" s="233"/>
      <c r="H24" s="241"/>
      <c r="I24" s="432"/>
      <c r="J24" s="432"/>
      <c r="K24" s="22"/>
      <c r="L24" s="71"/>
      <c r="N24" s="247"/>
      <c r="O24" s="247"/>
      <c r="P24" s="247"/>
      <c r="Q24" s="117"/>
      <c r="R24" s="117"/>
      <c r="S24" s="117"/>
    </row>
    <row r="25" spans="2:22" ht="20.149999999999999" customHeight="1" x14ac:dyDescent="0.45">
      <c r="B25" s="70"/>
      <c r="C25" s="338"/>
      <c r="D25" s="430"/>
      <c r="E25" s="430"/>
      <c r="F25" s="430"/>
      <c r="G25" s="45"/>
      <c r="H25" s="241"/>
      <c r="I25" s="432"/>
      <c r="J25" s="432"/>
      <c r="K25" s="22"/>
      <c r="L25" s="71"/>
      <c r="N25" s="247"/>
      <c r="O25" s="247"/>
      <c r="P25" s="247"/>
      <c r="Q25" s="117"/>
      <c r="R25" s="117"/>
      <c r="S25" s="117"/>
    </row>
    <row r="26" spans="2:22" ht="20.149999999999999" customHeight="1" x14ac:dyDescent="0.45">
      <c r="B26" s="70"/>
      <c r="C26" s="338"/>
      <c r="D26" s="430"/>
      <c r="E26" s="430"/>
      <c r="F26" s="430"/>
      <c r="G26" s="45"/>
      <c r="H26" s="241"/>
      <c r="I26" s="432"/>
      <c r="J26" s="432"/>
      <c r="K26" s="22"/>
      <c r="L26" s="71"/>
      <c r="N26" s="247"/>
      <c r="O26" s="247"/>
      <c r="P26" s="247"/>
      <c r="Q26" s="117"/>
      <c r="R26" s="117"/>
      <c r="S26" s="117"/>
    </row>
    <row r="27" spans="2:22" ht="20.149999999999999" customHeight="1" x14ac:dyDescent="0.45">
      <c r="B27" s="21"/>
      <c r="C27" s="69"/>
      <c r="D27" s="430"/>
      <c r="E27" s="430"/>
      <c r="F27" s="430"/>
      <c r="G27" s="233"/>
      <c r="H27" s="241"/>
      <c r="I27" s="432"/>
      <c r="J27" s="432"/>
      <c r="K27" s="22"/>
      <c r="L27" s="71"/>
      <c r="N27" s="247"/>
      <c r="O27" s="247"/>
      <c r="P27" s="247"/>
      <c r="Q27" s="117"/>
      <c r="R27" s="117"/>
      <c r="S27" s="117"/>
    </row>
    <row r="28" spans="2:22" ht="20.149999999999999" customHeight="1" x14ac:dyDescent="0.45">
      <c r="B28" s="21"/>
      <c r="C28" s="12" t="s">
        <v>1236</v>
      </c>
      <c r="D28" s="69"/>
      <c r="E28" s="69"/>
      <c r="F28" s="69"/>
      <c r="G28" s="233"/>
      <c r="H28" s="65"/>
      <c r="I28" s="65"/>
      <c r="J28" s="65"/>
      <c r="K28" s="22"/>
      <c r="L28" s="71"/>
      <c r="N28" s="247"/>
      <c r="O28" s="247"/>
      <c r="P28" s="247"/>
      <c r="Q28" s="117"/>
      <c r="R28" s="117"/>
      <c r="S28" s="117"/>
    </row>
    <row r="29" spans="2:22" ht="20.149999999999999" customHeight="1" x14ac:dyDescent="0.45">
      <c r="B29" s="21"/>
      <c r="C29" s="69" t="s">
        <v>1363</v>
      </c>
      <c r="D29" s="430"/>
      <c r="E29" s="430"/>
      <c r="F29" s="430"/>
      <c r="G29" s="233"/>
      <c r="H29" s="241"/>
      <c r="I29" s="432"/>
      <c r="J29" s="432"/>
      <c r="K29" s="22"/>
      <c r="L29" s="71"/>
      <c r="N29" s="247"/>
      <c r="O29" s="247"/>
      <c r="P29" s="247"/>
      <c r="Q29" s="117"/>
      <c r="R29" s="117"/>
      <c r="S29" s="117"/>
    </row>
    <row r="30" spans="2:22" ht="20.149999999999999" customHeight="1" x14ac:dyDescent="0.45">
      <c r="B30" s="21"/>
      <c r="C30" s="69" t="s">
        <v>1364</v>
      </c>
      <c r="D30" s="69"/>
      <c r="E30" s="69"/>
      <c r="F30" s="69"/>
      <c r="G30" s="45"/>
      <c r="H30" s="241"/>
      <c r="I30" s="322"/>
      <c r="J30" s="322"/>
      <c r="K30" s="22"/>
      <c r="L30" s="71"/>
      <c r="N30" s="247"/>
      <c r="O30" s="247"/>
      <c r="P30" s="247"/>
      <c r="Q30" s="117"/>
      <c r="R30" s="117"/>
      <c r="S30" s="117"/>
    </row>
    <row r="31" spans="2:22" ht="20.149999999999999" customHeight="1" x14ac:dyDescent="0.45">
      <c r="B31" s="21"/>
      <c r="D31" s="69"/>
      <c r="E31" s="69"/>
      <c r="F31" s="69"/>
      <c r="G31" s="45"/>
      <c r="H31" s="241"/>
      <c r="I31" s="322"/>
      <c r="J31" s="322"/>
      <c r="K31" s="22"/>
      <c r="L31" s="71"/>
      <c r="N31" s="247"/>
      <c r="O31" s="247"/>
      <c r="P31" s="247"/>
      <c r="Q31" s="117"/>
      <c r="R31" s="117"/>
      <c r="S31" s="117"/>
    </row>
    <row r="32" spans="2:22" ht="20.149999999999999" customHeight="1" x14ac:dyDescent="0.45">
      <c r="B32" s="21"/>
      <c r="D32" s="69"/>
      <c r="E32" s="69"/>
      <c r="F32" s="69"/>
      <c r="G32" s="45"/>
      <c r="H32" s="241"/>
      <c r="I32" s="322"/>
      <c r="J32" s="322"/>
      <c r="K32" s="22"/>
      <c r="L32" s="71"/>
      <c r="N32" s="247"/>
      <c r="O32" s="247"/>
      <c r="P32" s="247"/>
      <c r="Q32" s="117"/>
      <c r="R32" s="117"/>
      <c r="S32" s="117"/>
    </row>
    <row r="33" spans="2:19" ht="20.149999999999999" customHeight="1" x14ac:dyDescent="0.45">
      <c r="B33" s="21"/>
      <c r="C33" s="305" t="s">
        <v>1740</v>
      </c>
      <c r="E33" s="69"/>
      <c r="F33" s="69"/>
      <c r="G33" s="99"/>
      <c r="H33" s="65"/>
      <c r="I33" s="65"/>
      <c r="J33" s="65"/>
      <c r="K33" s="22"/>
      <c r="L33" s="71"/>
      <c r="N33" s="247"/>
      <c r="O33" s="247"/>
      <c r="P33" s="247"/>
      <c r="Q33" s="117"/>
      <c r="R33" s="117"/>
      <c r="S33" s="117"/>
    </row>
    <row r="34" spans="2:19" ht="20.149999999999999" customHeight="1" x14ac:dyDescent="0.45">
      <c r="B34" s="21"/>
      <c r="C34" s="338" t="s">
        <v>1080</v>
      </c>
      <c r="D34" s="430" t="str">
        <f>VLOOKUP(C34,'Sales Master'!B$3:D$643,2,0)</f>
        <v>Fine Sugar 白糖</v>
      </c>
      <c r="E34" s="430"/>
      <c r="F34" s="430"/>
      <c r="G34" s="99">
        <v>1</v>
      </c>
      <c r="H34" s="206" t="str">
        <f>VLOOKUP(C34,'Sales Master'!B$3:F$936,5,0)</f>
        <v>25 KGS</v>
      </c>
      <c r="I34" s="432" t="str">
        <f>VLOOKUP(C34,'Sales Master'!B$3:E$936,4,0)</f>
        <v>MITR PHOL</v>
      </c>
      <c r="J34" s="432"/>
      <c r="K34" s="22">
        <v>34</v>
      </c>
      <c r="L34" s="71"/>
      <c r="N34" s="247"/>
      <c r="O34" s="247"/>
      <c r="P34" s="247"/>
      <c r="Q34" s="117"/>
      <c r="R34" s="117"/>
    </row>
    <row r="35" spans="2:19" ht="20.149999999999999" customHeight="1" x14ac:dyDescent="0.45">
      <c r="B35" s="21"/>
      <c r="L35" s="71"/>
      <c r="N35" s="247"/>
      <c r="O35" s="247"/>
      <c r="P35" s="247"/>
      <c r="Q35" s="117"/>
      <c r="R35" s="117"/>
    </row>
    <row r="36" spans="2:19" ht="20.149999999999999" customHeight="1" thickBot="1" x14ac:dyDescent="0.5">
      <c r="B36" s="24"/>
      <c r="C36" s="25"/>
      <c r="D36" s="473"/>
      <c r="E36" s="473"/>
      <c r="F36" s="473"/>
      <c r="G36" s="25"/>
      <c r="H36" s="66"/>
      <c r="I36" s="66"/>
      <c r="J36" s="66"/>
      <c r="K36" s="26"/>
      <c r="L36" s="27"/>
    </row>
    <row r="37" spans="2:19" ht="20.149999999999999" customHeight="1" thickBot="1" x14ac:dyDescent="0.5">
      <c r="B37" s="28"/>
      <c r="L37" s="29"/>
    </row>
    <row r="38" spans="2:19" ht="20.149999999999999" customHeight="1" x14ac:dyDescent="0.45">
      <c r="B38" s="11" t="s">
        <v>16</v>
      </c>
      <c r="C38" s="10"/>
      <c r="D38" s="10"/>
      <c r="E38" s="10"/>
      <c r="F38" s="10"/>
      <c r="G38" s="10"/>
      <c r="H38" s="10"/>
      <c r="I38" s="10"/>
      <c r="J38" s="474" t="s">
        <v>13</v>
      </c>
      <c r="K38" s="475"/>
      <c r="L38" s="30">
        <f>SUM(L18:L37)</f>
        <v>105.5</v>
      </c>
      <c r="M38" s="95">
        <f>SUM(P13:P36)-L38*0.02</f>
        <v>30.735999999999997</v>
      </c>
    </row>
    <row r="39" spans="2:19" ht="20.149999999999999" customHeight="1" x14ac:dyDescent="0.45">
      <c r="B39" s="11" t="s">
        <v>17</v>
      </c>
      <c r="C39" s="10"/>
      <c r="D39" s="10"/>
      <c r="E39" s="10"/>
      <c r="F39" s="10"/>
      <c r="G39" s="10"/>
      <c r="H39" s="10"/>
      <c r="I39" s="10"/>
      <c r="J39" s="110" t="s">
        <v>553</v>
      </c>
      <c r="K39" s="113">
        <v>6.54E-2</v>
      </c>
      <c r="L39" s="32">
        <f>L41</f>
        <v>7.8148148148148158</v>
      </c>
    </row>
    <row r="40" spans="2:19" ht="20.149999999999999" customHeight="1" x14ac:dyDescent="0.45">
      <c r="B40" s="11" t="s">
        <v>18</v>
      </c>
      <c r="C40" s="10"/>
      <c r="D40" s="10"/>
      <c r="E40" s="10"/>
      <c r="F40" s="10"/>
      <c r="G40" s="10"/>
      <c r="H40" s="10"/>
      <c r="I40" s="10"/>
      <c r="J40" s="476" t="s">
        <v>555</v>
      </c>
      <c r="K40" s="477"/>
      <c r="L40" s="114">
        <f>L38/108*100</f>
        <v>97.68518518518519</v>
      </c>
    </row>
    <row r="41" spans="2:19" ht="20.149999999999999" customHeight="1" x14ac:dyDescent="0.45">
      <c r="B41" s="11" t="s">
        <v>22</v>
      </c>
      <c r="C41" s="10"/>
      <c r="D41" s="10"/>
      <c r="E41" s="10"/>
      <c r="F41" s="10"/>
      <c r="G41" s="10"/>
      <c r="H41" s="10"/>
      <c r="I41" s="10"/>
      <c r="J41" s="111" t="s">
        <v>554</v>
      </c>
      <c r="K41" s="112">
        <v>0.08</v>
      </c>
      <c r="L41" s="44">
        <f>L40*K41</f>
        <v>7.8148148148148158</v>
      </c>
    </row>
    <row r="42" spans="2:19" ht="20.149999999999999" customHeight="1" thickBot="1" x14ac:dyDescent="0.5">
      <c r="B42" s="11" t="s">
        <v>748</v>
      </c>
      <c r="C42" s="10"/>
      <c r="D42" s="10"/>
      <c r="E42" s="10"/>
      <c r="F42" s="10"/>
      <c r="G42" s="10"/>
      <c r="H42" s="10"/>
      <c r="I42" s="10"/>
      <c r="J42" s="478" t="s">
        <v>21</v>
      </c>
      <c r="K42" s="479"/>
      <c r="L42" s="33">
        <f>L40+L41</f>
        <v>105.5</v>
      </c>
    </row>
    <row r="43" spans="2:19" ht="20.149999999999999" customHeight="1" x14ac:dyDescent="0.45">
      <c r="B43" s="11" t="s">
        <v>23</v>
      </c>
      <c r="C43" s="10"/>
      <c r="D43" s="10"/>
      <c r="E43" s="10"/>
      <c r="F43" s="10"/>
      <c r="G43" s="10"/>
      <c r="H43" s="10"/>
      <c r="I43" s="10"/>
      <c r="L43" s="29"/>
    </row>
    <row r="44" spans="2:19" ht="20.149999999999999" customHeight="1" x14ac:dyDescent="0.45">
      <c r="B44" s="183" t="s">
        <v>749</v>
      </c>
      <c r="L44" s="29"/>
    </row>
    <row r="45" spans="2:19" ht="20.149999999999999" customHeight="1" x14ac:dyDescent="0.45">
      <c r="B45" s="28"/>
      <c r="L45" s="29"/>
    </row>
    <row r="46" spans="2:19" ht="20.149999999999999" customHeight="1" x14ac:dyDescent="0.45">
      <c r="B46" s="28"/>
      <c r="L46" s="29"/>
    </row>
    <row r="47" spans="2:19" ht="20.149999999999999" customHeight="1" x14ac:dyDescent="0.45">
      <c r="B47" s="28"/>
      <c r="L47" s="29"/>
    </row>
    <row r="48" spans="2:19" ht="20.149999999999999" customHeight="1" x14ac:dyDescent="0.45">
      <c r="B48" s="34"/>
      <c r="C48" s="35"/>
      <c r="D48" s="35"/>
      <c r="J48" s="35"/>
      <c r="K48" s="35"/>
      <c r="L48" s="36"/>
    </row>
    <row r="49" spans="2:12" ht="20.149999999999999" customHeight="1" x14ac:dyDescent="0.45">
      <c r="B49" s="28" t="s">
        <v>24</v>
      </c>
      <c r="J49" s="60" t="s">
        <v>25</v>
      </c>
      <c r="L49" s="29"/>
    </row>
    <row r="50" spans="2:12" ht="19" thickBot="1" x14ac:dyDescent="0.5">
      <c r="B50" s="37"/>
      <c r="C50" s="62"/>
      <c r="D50" s="62"/>
      <c r="E50" s="62"/>
      <c r="F50" s="62"/>
      <c r="G50" s="62"/>
      <c r="H50" s="62"/>
      <c r="I50" s="62"/>
      <c r="J50" s="62"/>
      <c r="K50" s="62"/>
      <c r="L50" s="38"/>
    </row>
  </sheetData>
  <mergeCells count="44">
    <mergeCell ref="D23:F23"/>
    <mergeCell ref="D24:F24"/>
    <mergeCell ref="I23:J23"/>
    <mergeCell ref="I24:J24"/>
    <mergeCell ref="D27:F27"/>
    <mergeCell ref="I27:J27"/>
    <mergeCell ref="D25:F25"/>
    <mergeCell ref="I26:J26"/>
    <mergeCell ref="I25:J25"/>
    <mergeCell ref="D26:F26"/>
    <mergeCell ref="D29:F29"/>
    <mergeCell ref="I29:J29"/>
    <mergeCell ref="J42:K42"/>
    <mergeCell ref="D36:F36"/>
    <mergeCell ref="J38:K38"/>
    <mergeCell ref="J40:K40"/>
    <mergeCell ref="D34:F34"/>
    <mergeCell ref="I34:J34"/>
    <mergeCell ref="D22:F22"/>
    <mergeCell ref="I22:J22"/>
    <mergeCell ref="D21:F21"/>
    <mergeCell ref="I21:J21"/>
    <mergeCell ref="I20:J20"/>
    <mergeCell ref="D20:F20"/>
    <mergeCell ref="I17:J17"/>
    <mergeCell ref="D18:F18"/>
    <mergeCell ref="I18:J18"/>
    <mergeCell ref="D17:F17"/>
    <mergeCell ref="D19:F19"/>
    <mergeCell ref="I19:J19"/>
    <mergeCell ref="N6:Q6"/>
    <mergeCell ref="B1:L8"/>
    <mergeCell ref="K10:L10"/>
    <mergeCell ref="B11:D11"/>
    <mergeCell ref="K14:L14"/>
    <mergeCell ref="F11:H15"/>
    <mergeCell ref="K11:L11"/>
    <mergeCell ref="B12:D12"/>
    <mergeCell ref="K12:L12"/>
    <mergeCell ref="B13:D13"/>
    <mergeCell ref="K13:L13"/>
    <mergeCell ref="B14:D14"/>
    <mergeCell ref="B15:D15"/>
    <mergeCell ref="K15:L15"/>
  </mergeCells>
  <conditionalFormatting sqref="C27 C24">
    <cfRule type="duplicateValues" dxfId="56" priority="294"/>
  </conditionalFormatting>
  <conditionalFormatting sqref="C33">
    <cfRule type="duplicateValues" dxfId="55" priority="1"/>
  </conditionalFormatting>
  <conditionalFormatting sqref="C34">
    <cfRule type="duplicateValues" dxfId="54" priority="2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38AF1-B3B2-4EE8-8310-A4E89640D020}">
  <sheetPr codeName="Sheet148">
    <tabColor rgb="FF7030A0"/>
    <pageSetUpPr fitToPage="1"/>
  </sheetPr>
  <dimension ref="B1:P48"/>
  <sheetViews>
    <sheetView topLeftCell="B29" zoomScaleNormal="100" workbookViewId="0">
      <selection activeCell="B1" sqref="B1:L4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509</v>
      </c>
      <c r="J10" s="17" t="s">
        <v>26</v>
      </c>
      <c r="K10" s="455">
        <v>202311117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MFC Food &amp; Press Pte Ltd                 11 Tanjong Katong Road #B1-K7 Kinex Singapore 437157.</v>
      </c>
      <c r="G11" s="445"/>
      <c r="H11" s="446"/>
      <c r="J11" s="18" t="s">
        <v>9</v>
      </c>
      <c r="K11" s="460">
        <v>45234</v>
      </c>
      <c r="L11" s="461"/>
    </row>
    <row r="12" spans="2:12" ht="20.149999999999999" customHeight="1" x14ac:dyDescent="0.45">
      <c r="B12" s="462" t="s">
        <v>1502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862</v>
      </c>
      <c r="D18" s="487" t="str">
        <f>VLOOKUP(C18,'Sales Master'!B$3:D$316,2,0)</f>
        <v>Fresh Soursop Seedless 红毛榴莲(无)</v>
      </c>
      <c r="E18" s="487"/>
      <c r="F18" s="487"/>
      <c r="G18" s="99">
        <v>3</v>
      </c>
      <c r="H18" s="241" t="str">
        <f>VLOOKUP(C18,'Sales Master'!B$3:F$936,5,0)</f>
        <v>Box/盒</v>
      </c>
      <c r="I18" s="432" t="str">
        <f>VLOOKUP(C18,'Sales Master'!B$3:E$936,4,0)</f>
        <v>DO!</v>
      </c>
      <c r="J18" s="432"/>
      <c r="K18" s="22">
        <f>VLOOKUP(C18,'Sales Master'!B$3:CK$527,88,0)</f>
        <v>10</v>
      </c>
      <c r="L18" s="71">
        <f t="shared" ref="L18" si="0">K18*G18</f>
        <v>30</v>
      </c>
      <c r="N18" s="247">
        <f>VLOOKUP(C18,'Sales Master'!$B$3:$FA$3051,156,0)</f>
        <v>5.13</v>
      </c>
      <c r="O18" s="247">
        <f t="shared" ref="O18" si="1">K18-N18</f>
        <v>4.87</v>
      </c>
      <c r="P18" s="247">
        <f t="shared" ref="P18" si="2">O18*G18</f>
        <v>14.61</v>
      </c>
    </row>
    <row r="19" spans="2:16" ht="20.149999999999999" customHeight="1" x14ac:dyDescent="0.45">
      <c r="B19" s="21"/>
      <c r="C19" s="338" t="s">
        <v>820</v>
      </c>
      <c r="D19" s="430" t="str">
        <f>VLOOKUP(C19,'Sales Master'!B$3:D$316,2,0)</f>
        <v>Durian Puree 榴莲浆</v>
      </c>
      <c r="E19" s="430"/>
      <c r="F19" s="430"/>
      <c r="G19" s="99">
        <v>2</v>
      </c>
      <c r="H19" s="241" t="str">
        <f>VLOOKUP(C19,'Sales Master'!B$3:F$936,5,0)</f>
        <v>Box/盒</v>
      </c>
      <c r="I19" s="432" t="str">
        <f>VLOOKUP(C19,'Sales Master'!B$3:E$936,4,0)</f>
        <v>DO!</v>
      </c>
      <c r="J19" s="432"/>
      <c r="K19" s="22">
        <f>VLOOKUP(C19,'Sales Master'!B$3:CK$527,88,0)</f>
        <v>8</v>
      </c>
      <c r="L19" s="71">
        <f t="shared" ref="L19" si="3">K19*G19</f>
        <v>16</v>
      </c>
      <c r="N19" s="247">
        <f>VLOOKUP(C19,'Sales Master'!$B$3:$FA$3051,156,0)</f>
        <v>4.71</v>
      </c>
      <c r="O19" s="247">
        <f t="shared" ref="O19" si="4">K19-N19</f>
        <v>3.29</v>
      </c>
      <c r="P19" s="247">
        <f t="shared" ref="P19" si="5">O19*G19</f>
        <v>6.58</v>
      </c>
    </row>
    <row r="20" spans="2:16" ht="20.149999999999999" customHeight="1" x14ac:dyDescent="0.45">
      <c r="B20" s="21"/>
      <c r="C20" s="338" t="s">
        <v>821</v>
      </c>
      <c r="D20" s="430" t="str">
        <f>VLOOKUP(C20,'Sales Master'!B$3:D$316,2,0)</f>
        <v>Mango Puree 芒果浆</v>
      </c>
      <c r="E20" s="430"/>
      <c r="F20" s="430"/>
      <c r="G20" s="99">
        <v>3</v>
      </c>
      <c r="H20" s="241" t="str">
        <f>VLOOKUP(C20,'Sales Master'!B$3:F$936,5,0)</f>
        <v>Box/盒</v>
      </c>
      <c r="I20" s="432" t="str">
        <f>VLOOKUP(C20,'Sales Master'!B$3:E$936,4,0)</f>
        <v>DO!</v>
      </c>
      <c r="J20" s="432"/>
      <c r="K20" s="22">
        <f>VLOOKUP(C20,'Sales Master'!B$3:CK$527,88,0)</f>
        <v>7</v>
      </c>
      <c r="L20" s="71">
        <f t="shared" ref="L20" si="6">K20*G20</f>
        <v>21</v>
      </c>
      <c r="N20" s="247">
        <f>VLOOKUP(C20,'Sales Master'!$B$3:$FA$3051,156,0)</f>
        <v>2.15</v>
      </c>
      <c r="O20" s="247">
        <f t="shared" ref="O20" si="7">K20-N20</f>
        <v>4.8499999999999996</v>
      </c>
      <c r="P20" s="247">
        <f t="shared" ref="P20" si="8">O20*G20</f>
        <v>14.549999999999999</v>
      </c>
    </row>
    <row r="21" spans="2:16" ht="20.149999999999999" customHeight="1" x14ac:dyDescent="0.45">
      <c r="B21" s="21"/>
      <c r="C21" s="338" t="s">
        <v>851</v>
      </c>
      <c r="D21" s="535" t="str">
        <f>VLOOKUP(C21,'Sales Master'!B$3:D$316,2,0)</f>
        <v>Honey Pearl - Black 蜜糖珍珠-黑</v>
      </c>
      <c r="E21" s="535"/>
      <c r="F21" s="535"/>
      <c r="G21" s="99">
        <v>2</v>
      </c>
      <c r="H21" s="241" t="str">
        <f>VLOOKUP(C21,'Sales Master'!B$3:F$936,5,0)</f>
        <v>1 kg/Bag</v>
      </c>
      <c r="I21" s="432" t="str">
        <f>VLOOKUP(C21,'Sales Master'!B$3:E$936,4,0)</f>
        <v>-</v>
      </c>
      <c r="J21" s="432"/>
      <c r="K21" s="22">
        <f>VLOOKUP(C21,'Sales Master'!B$3:CK$527,88,0)</f>
        <v>8</v>
      </c>
      <c r="L21" s="71">
        <f>K21*G21</f>
        <v>16</v>
      </c>
      <c r="N21" s="247">
        <f>VLOOKUP(C21,'Sales Master'!$B$3:$FA$3051,156,0)</f>
        <v>6</v>
      </c>
      <c r="O21" s="247">
        <f>K21-N21</f>
        <v>2</v>
      </c>
      <c r="P21" s="247">
        <f>O21*G21</f>
        <v>4</v>
      </c>
    </row>
    <row r="22" spans="2:16" ht="20.149999999999999" customHeight="1" x14ac:dyDescent="0.45">
      <c r="B22" s="21"/>
      <c r="C22" s="338" t="s">
        <v>1024</v>
      </c>
      <c r="D22" s="430" t="str">
        <f>VLOOKUP(C22,'Sales Master'!B$3:D$316,2,0)</f>
        <v>Nata 椰果芊 5mm</v>
      </c>
      <c r="E22" s="430"/>
      <c r="F22" s="430"/>
      <c r="G22" s="99">
        <v>12</v>
      </c>
      <c r="H22" s="241" t="str">
        <f>VLOOKUP(C22,'Sales Master'!B$3:F$936,5,0)</f>
        <v>1 Can X A10</v>
      </c>
      <c r="I22" s="432" t="str">
        <f>VLOOKUP(C22,'Sales Master'!B$3:E$936,4,0)</f>
        <v>Chefs</v>
      </c>
      <c r="J22" s="432"/>
      <c r="K22" s="22">
        <f>VLOOKUP(C22,'Sales Master'!B$3:CK$527,88,0)</f>
        <v>10</v>
      </c>
      <c r="L22" s="71">
        <f t="shared" ref="L22" si="9">K22*G22</f>
        <v>120</v>
      </c>
      <c r="N22" s="247">
        <f>VLOOKUP(C22,'Sales Master'!$B$3:$FA$3051,156,0)</f>
        <v>7.666666666666667</v>
      </c>
      <c r="O22" s="247">
        <f t="shared" ref="O22" si="10">K22-N22</f>
        <v>2.333333333333333</v>
      </c>
      <c r="P22" s="247">
        <f t="shared" ref="P22" si="11">O22*G22</f>
        <v>27.999999999999996</v>
      </c>
    </row>
    <row r="23" spans="2:16" ht="20.149999999999999" customHeight="1" x14ac:dyDescent="0.45">
      <c r="B23" s="21"/>
      <c r="C23" s="45"/>
      <c r="D23" s="430"/>
      <c r="E23" s="430"/>
      <c r="F23" s="430"/>
      <c r="G23" s="99"/>
      <c r="H23" s="241"/>
      <c r="I23" s="432"/>
      <c r="J23" s="432"/>
      <c r="K23" s="22"/>
      <c r="L23" s="71"/>
      <c r="N23" s="247"/>
      <c r="O23" s="247"/>
      <c r="P23" s="247"/>
    </row>
    <row r="24" spans="2:16" ht="20.149999999999999" customHeight="1" x14ac:dyDescent="0.45">
      <c r="B24" s="21"/>
      <c r="D24" s="69"/>
      <c r="E24" s="69"/>
      <c r="F24" s="69"/>
      <c r="G24" s="99"/>
      <c r="H24" s="241"/>
      <c r="I24" s="322"/>
      <c r="J24" s="322"/>
      <c r="K24" s="22"/>
      <c r="L24" s="71"/>
      <c r="N24" s="247"/>
      <c r="O24" s="247"/>
      <c r="P24" s="247"/>
    </row>
    <row r="25" spans="2:16" ht="20.149999999999999" customHeight="1" x14ac:dyDescent="0.45">
      <c r="B25" s="21"/>
      <c r="G25" s="45"/>
      <c r="H25" s="65"/>
      <c r="I25" s="206"/>
      <c r="J25" s="206"/>
      <c r="K25" s="22"/>
      <c r="L25" s="71"/>
    </row>
    <row r="26" spans="2:16" ht="20.149999999999999" customHeight="1" x14ac:dyDescent="0.45">
      <c r="B26" s="21"/>
      <c r="C26" s="12" t="s">
        <v>1236</v>
      </c>
      <c r="G26" s="99"/>
      <c r="H26" s="65"/>
      <c r="I26" s="431"/>
      <c r="J26" s="431"/>
      <c r="K26" s="96"/>
      <c r="L26" s="23"/>
    </row>
    <row r="27" spans="2:16" ht="20.149999999999999" customHeight="1" x14ac:dyDescent="0.45">
      <c r="B27" s="21"/>
      <c r="C27" s="69" t="s">
        <v>1363</v>
      </c>
      <c r="D27" s="140"/>
      <c r="E27" s="140"/>
      <c r="F27" s="140"/>
      <c r="G27" s="140"/>
      <c r="H27" s="140"/>
      <c r="I27" s="140"/>
      <c r="J27" s="140"/>
      <c r="K27" s="140"/>
      <c r="L27" s="256"/>
    </row>
    <row r="28" spans="2:16" ht="20.149999999999999" customHeight="1" x14ac:dyDescent="0.45">
      <c r="B28" s="21"/>
      <c r="C28" s="69" t="s">
        <v>1364</v>
      </c>
      <c r="D28" s="69"/>
      <c r="E28" s="69"/>
      <c r="F28" s="69"/>
      <c r="G28" s="99"/>
      <c r="H28" s="65"/>
      <c r="I28" s="65"/>
      <c r="J28" s="65"/>
      <c r="K28" s="96"/>
      <c r="L28" s="23"/>
    </row>
    <row r="29" spans="2:16" ht="20.149999999999999" customHeight="1" x14ac:dyDescent="0.45">
      <c r="B29" s="21"/>
      <c r="C29" s="69"/>
      <c r="D29" s="69"/>
      <c r="E29" s="69"/>
      <c r="F29" s="69"/>
      <c r="G29" s="99"/>
      <c r="H29" s="65"/>
      <c r="I29" s="65"/>
      <c r="J29" s="65"/>
      <c r="K29" s="96"/>
      <c r="L29" s="23"/>
    </row>
    <row r="30" spans="2:16" ht="20.149999999999999" customHeight="1" x14ac:dyDescent="0.45">
      <c r="B30" s="21"/>
      <c r="C30" s="69"/>
      <c r="D30" s="69"/>
      <c r="E30" s="69"/>
      <c r="F30" s="69"/>
      <c r="G30" s="99"/>
      <c r="H30" s="65"/>
      <c r="I30" s="65"/>
      <c r="J30" s="65"/>
      <c r="K30" s="96"/>
      <c r="L30" s="23"/>
    </row>
    <row r="31" spans="2:16" ht="20.149999999999999" customHeight="1" x14ac:dyDescent="0.45">
      <c r="B31" s="21"/>
      <c r="C31" s="69"/>
      <c r="D31" s="69"/>
      <c r="E31" s="69"/>
      <c r="F31" s="69"/>
      <c r="G31" s="99"/>
      <c r="H31" s="65"/>
      <c r="I31" s="65"/>
      <c r="J31" s="65"/>
      <c r="K31" s="96"/>
      <c r="L31" s="23"/>
    </row>
    <row r="32" spans="2:16" ht="20.149999999999999" customHeight="1" x14ac:dyDescent="0.45">
      <c r="B32" s="21"/>
      <c r="C32" s="45"/>
      <c r="D32" s="69"/>
      <c r="E32" s="69"/>
      <c r="F32" s="69"/>
      <c r="G32" s="99"/>
      <c r="H32" s="65"/>
      <c r="I32" s="65"/>
      <c r="J32" s="65"/>
      <c r="K32" s="96"/>
      <c r="L32" s="23"/>
    </row>
    <row r="33" spans="2:14" ht="20.149999999999999" customHeight="1" thickBot="1" x14ac:dyDescent="0.5">
      <c r="B33" s="24"/>
      <c r="C33" s="25"/>
      <c r="D33" s="473"/>
      <c r="E33" s="473"/>
      <c r="F33" s="473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474" t="s">
        <v>13</v>
      </c>
      <c r="K35" s="475"/>
      <c r="L35" s="30">
        <f>SUM(L18:L34)</f>
        <v>203</v>
      </c>
      <c r="M35" s="95">
        <f>SUM(P13:P33)-L35*0.02</f>
        <v>63.679999999999993</v>
      </c>
      <c r="N35" s="248">
        <f>M35/L35</f>
        <v>0.31369458128078814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 t="s">
        <v>334</v>
      </c>
      <c r="H36" s="10"/>
      <c r="I36" s="10"/>
      <c r="J36" s="110" t="s">
        <v>553</v>
      </c>
      <c r="K36" s="113">
        <v>6.54E-2</v>
      </c>
      <c r="L36" s="32">
        <f>L38</f>
        <v>15.037037037037038</v>
      </c>
    </row>
    <row r="37" spans="2:14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476" t="s">
        <v>555</v>
      </c>
      <c r="K37" s="477"/>
      <c r="L37" s="114">
        <f>L35/108*100</f>
        <v>187.96296296296296</v>
      </c>
    </row>
    <row r="38" spans="2:14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1" t="s">
        <v>554</v>
      </c>
      <c r="K38" s="112">
        <v>0.08</v>
      </c>
      <c r="L38" s="44">
        <f>L37*K38</f>
        <v>15.037037037037038</v>
      </c>
    </row>
    <row r="39" spans="2:14" ht="20.149999999999999" customHeight="1" thickBot="1" x14ac:dyDescent="0.5">
      <c r="B39" s="11" t="s">
        <v>748</v>
      </c>
      <c r="C39" s="10"/>
      <c r="D39" s="10"/>
      <c r="E39" s="10"/>
      <c r="F39" s="10"/>
      <c r="G39" s="10"/>
      <c r="H39" s="10"/>
      <c r="I39" s="10"/>
      <c r="J39" s="478" t="s">
        <v>21</v>
      </c>
      <c r="K39" s="479"/>
      <c r="L39" s="33">
        <f>L37+L38</f>
        <v>203</v>
      </c>
    </row>
    <row r="40" spans="2:14" ht="20.149999999999999" customHeight="1" x14ac:dyDescent="0.45">
      <c r="B40" s="11" t="s">
        <v>23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83" t="s">
        <v>749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24</v>
      </c>
      <c r="J46" s="60" t="s">
        <v>25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  <row r="48" spans="2:14" ht="20.5" x14ac:dyDescent="0.45">
      <c r="F48" s="317"/>
    </row>
  </sheetData>
  <mergeCells count="32">
    <mergeCell ref="J39:K39"/>
    <mergeCell ref="D18:F18"/>
    <mergeCell ref="I18:J18"/>
    <mergeCell ref="I26:J26"/>
    <mergeCell ref="D33:F33"/>
    <mergeCell ref="J35:K35"/>
    <mergeCell ref="J37:K37"/>
    <mergeCell ref="D21:F21"/>
    <mergeCell ref="I21:J21"/>
    <mergeCell ref="D19:F19"/>
    <mergeCell ref="I19:J19"/>
    <mergeCell ref="D20:F20"/>
    <mergeCell ref="I20:J20"/>
    <mergeCell ref="D22:F22"/>
    <mergeCell ref="D23:F23"/>
    <mergeCell ref="I23:J23"/>
    <mergeCell ref="I22:J22"/>
    <mergeCell ref="I17:J17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F21E1-E1A1-4F28-8D0E-9AB839C5C7E4}">
  <sheetPr codeName="Sheet134">
    <tabColor rgb="FF7030A0"/>
    <pageSetUpPr fitToPage="1"/>
  </sheetPr>
  <dimension ref="B1:P42"/>
  <sheetViews>
    <sheetView topLeftCell="A5" zoomScaleNormal="100" workbookViewId="0">
      <selection activeCell="G16" sqref="G1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1290</v>
      </c>
      <c r="J10" s="17" t="s">
        <v>26</v>
      </c>
      <c r="K10" s="455">
        <v>202304345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NEW STALL                                                        BLK 105, HOUGANG AVE 1                                      MARKET &amp; FOOD CENTRE  #02-34              Singapore 600254</v>
      </c>
      <c r="G11" s="445"/>
      <c r="H11" s="446"/>
      <c r="J11" s="18" t="s">
        <v>9</v>
      </c>
      <c r="K11" s="502">
        <v>45061</v>
      </c>
      <c r="L11" s="466"/>
      <c r="N11" s="60" t="s">
        <v>556</v>
      </c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  <c r="N15" s="172" t="s">
        <v>618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70"/>
      <c r="C18" s="45" t="s">
        <v>821</v>
      </c>
      <c r="D18" s="430" t="str">
        <f>VLOOKUP(C18,'Sales Master'!B$3:D$644,2,0)</f>
        <v>Mango Puree 芒果浆</v>
      </c>
      <c r="E18" s="430"/>
      <c r="F18" s="430"/>
      <c r="G18" s="99"/>
      <c r="H18" s="241" t="str">
        <f>VLOOKUP(C18,'Sales Master'!B$3:F$936,5,0)</f>
        <v>Box/盒</v>
      </c>
      <c r="I18" s="432" t="str">
        <f>VLOOKUP(C18,'Sales Master'!B$3:E$936,4,0)</f>
        <v>DO!</v>
      </c>
      <c r="J18" s="432"/>
      <c r="K18" s="96">
        <f>VLOOKUP(C18,'Sales Master'!B$3:BV$527,73,0)</f>
        <v>0</v>
      </c>
      <c r="L18" s="71">
        <f>K18*G18</f>
        <v>0</v>
      </c>
      <c r="N18" s="247">
        <f>VLOOKUP(C18,'Sales Master'!$B$3:$FA$3051,156,0)</f>
        <v>2.15</v>
      </c>
      <c r="O18" s="247">
        <f>K18-N18</f>
        <v>-2.15</v>
      </c>
      <c r="P18" s="247">
        <f>O18*G18</f>
        <v>0</v>
      </c>
    </row>
    <row r="19" spans="2:16" ht="20.149999999999999" customHeight="1" x14ac:dyDescent="0.45">
      <c r="B19" s="70"/>
      <c r="C19" s="45" t="s">
        <v>822</v>
      </c>
      <c r="D19" s="430" t="str">
        <f>VLOOKUP(C19,'Sales Master'!B$3:D$644,2,0)</f>
        <v>Strawberry Puree 草莓</v>
      </c>
      <c r="E19" s="430"/>
      <c r="F19" s="430"/>
      <c r="G19" s="99"/>
      <c r="H19" s="241" t="str">
        <f>VLOOKUP(C19,'Sales Master'!B$3:F$936,5,0)</f>
        <v>Box/盒</v>
      </c>
      <c r="I19" s="541" t="str">
        <f>VLOOKUP(C19,'Sales Master'!B$3:E$936,4,0)</f>
        <v>DO!</v>
      </c>
      <c r="J19" s="541"/>
      <c r="K19" s="96">
        <f>VLOOKUP(C19,'Sales Master'!B$3:BV$527,73,0)</f>
        <v>0</v>
      </c>
      <c r="L19" s="71">
        <f>K19*G19</f>
        <v>0</v>
      </c>
      <c r="N19" s="247">
        <f>VLOOKUP(C19,'Sales Master'!$B$3:$FA$3051,156,0)</f>
        <v>4.68</v>
      </c>
      <c r="O19" s="247">
        <f>K19-N19</f>
        <v>-4.68</v>
      </c>
      <c r="P19" s="247">
        <f>O19*G19</f>
        <v>0</v>
      </c>
    </row>
    <row r="20" spans="2:16" ht="20.149999999999999" customHeight="1" x14ac:dyDescent="0.45">
      <c r="B20" s="70"/>
      <c r="C20" s="45" t="s">
        <v>823</v>
      </c>
      <c r="D20" s="430" t="str">
        <f>VLOOKUP(C20,'Sales Master'!B$3:D$644,2,0)</f>
        <v>Guava Puree 番石榴</v>
      </c>
      <c r="E20" s="430"/>
      <c r="F20" s="430"/>
      <c r="G20" s="99"/>
      <c r="H20" s="241" t="str">
        <f>VLOOKUP(C20,'Sales Master'!B$3:F$936,5,0)</f>
        <v>Box/盒</v>
      </c>
      <c r="I20" s="432" t="str">
        <f>VLOOKUP(C20,'Sales Master'!B$3:E$936,4,0)</f>
        <v>-</v>
      </c>
      <c r="J20" s="432"/>
      <c r="K20" s="96">
        <f>VLOOKUP(C20,'Sales Master'!B$3:BV$527,73,0)</f>
        <v>0</v>
      </c>
      <c r="L20" s="71">
        <f>K20*G20</f>
        <v>0</v>
      </c>
      <c r="N20" s="247">
        <f>VLOOKUP(C20,'Sales Master'!$B$3:$FA$3051,156,0)</f>
        <v>5</v>
      </c>
      <c r="O20" s="247">
        <f>K20-N20</f>
        <v>-5</v>
      </c>
      <c r="P20" s="247">
        <f>O20*G20</f>
        <v>0</v>
      </c>
    </row>
    <row r="21" spans="2:16" ht="20.149999999999999" customHeight="1" x14ac:dyDescent="0.45">
      <c r="B21" s="70"/>
      <c r="C21" s="45" t="s">
        <v>1080</v>
      </c>
      <c r="D21" s="430" t="str">
        <f>VLOOKUP(C21,'Sales Master'!B$3:D$644,2,0)</f>
        <v>Fine Sugar 白糖</v>
      </c>
      <c r="E21" s="430"/>
      <c r="F21" s="430"/>
      <c r="G21" s="99"/>
      <c r="H21" s="241" t="str">
        <f>VLOOKUP(C21,'Sales Master'!B$3:F$936,5,0)</f>
        <v>25 KGS</v>
      </c>
      <c r="I21" s="432" t="str">
        <f>VLOOKUP(C21,'Sales Master'!B$3:E$936,4,0)</f>
        <v>MITR PHOL</v>
      </c>
      <c r="J21" s="432"/>
      <c r="K21" s="96">
        <f>VLOOKUP(C21,'Sales Master'!B$3:BV$527,73,0)</f>
        <v>0</v>
      </c>
      <c r="L21" s="71">
        <f>K21*G21</f>
        <v>0</v>
      </c>
      <c r="N21" s="247">
        <f>VLOOKUP(C21,'Sales Master'!$B$3:$FA$3051,156,0)</f>
        <v>26.784000000000002</v>
      </c>
      <c r="O21" s="247">
        <f>K21-N21</f>
        <v>-26.784000000000002</v>
      </c>
      <c r="P21" s="247">
        <f>O21*G21</f>
        <v>0</v>
      </c>
    </row>
    <row r="22" spans="2:16" ht="20.149999999999999" customHeight="1" x14ac:dyDescent="0.45">
      <c r="B22" s="70"/>
      <c r="C22" s="45"/>
      <c r="D22" s="69"/>
      <c r="E22" s="69"/>
      <c r="F22" s="69"/>
      <c r="G22" s="99"/>
      <c r="H22" s="65"/>
      <c r="I22" s="65"/>
      <c r="J22" s="65"/>
      <c r="K22" s="96"/>
      <c r="L22" s="71"/>
      <c r="N22" s="247"/>
      <c r="O22" s="247"/>
      <c r="P22" s="247"/>
    </row>
    <row r="23" spans="2:16" ht="20.149999999999999" customHeight="1" x14ac:dyDescent="0.45">
      <c r="B23" s="70"/>
      <c r="C23" s="45"/>
      <c r="D23" s="69"/>
      <c r="E23" s="69"/>
      <c r="F23" s="69"/>
      <c r="G23" s="99"/>
      <c r="H23" s="65"/>
      <c r="I23" s="65"/>
      <c r="J23" s="65"/>
      <c r="K23" s="96"/>
      <c r="L23" s="71"/>
      <c r="N23" s="247"/>
      <c r="O23" s="247"/>
      <c r="P23" s="247"/>
    </row>
    <row r="24" spans="2:16" ht="20.149999999999999" customHeight="1" x14ac:dyDescent="0.45">
      <c r="B24" s="70"/>
      <c r="C24" s="99"/>
      <c r="D24" s="130"/>
      <c r="E24" s="130"/>
      <c r="F24" s="130"/>
      <c r="G24" s="99"/>
      <c r="H24" s="65"/>
      <c r="I24" s="65"/>
      <c r="J24" s="65"/>
      <c r="K24" s="22"/>
      <c r="L24" s="98"/>
      <c r="N24" s="258"/>
      <c r="O24" s="258"/>
      <c r="P24" s="258"/>
    </row>
    <row r="25" spans="2:16" ht="20.149999999999999" customHeight="1" x14ac:dyDescent="0.45">
      <c r="B25" s="70"/>
      <c r="C25" s="172" t="s">
        <v>1220</v>
      </c>
      <c r="G25" s="233"/>
      <c r="H25" s="65"/>
      <c r="I25" s="65"/>
      <c r="J25" s="65"/>
      <c r="K25" s="22"/>
      <c r="L25" s="98"/>
      <c r="N25" s="258"/>
      <c r="O25" s="258"/>
      <c r="P25" s="258"/>
    </row>
    <row r="26" spans="2:16" ht="20.149999999999999" customHeight="1" x14ac:dyDescent="0.45">
      <c r="B26" s="70"/>
      <c r="C26" s="45" t="s">
        <v>1080</v>
      </c>
      <c r="D26" s="430" t="str">
        <f>VLOOKUP(C26,'Sales Master'!B$3:D$702,2,0)</f>
        <v>Fine Sugar 白糖</v>
      </c>
      <c r="E26" s="430"/>
      <c r="F26" s="430"/>
      <c r="G26" s="233">
        <v>1</v>
      </c>
      <c r="H26" s="65" t="str">
        <f>VLOOKUP(C26,'Sales Master'!B$3:F$936,5,0)</f>
        <v>25 KGS</v>
      </c>
      <c r="I26" s="431" t="str">
        <f>VLOOKUP(C26,'Sales Master'!B$3:E$936,4,0)</f>
        <v>MITR PHOL</v>
      </c>
      <c r="J26" s="431"/>
      <c r="K26" s="22">
        <v>30.5</v>
      </c>
      <c r="L26" s="98"/>
      <c r="N26" s="258"/>
      <c r="O26" s="258"/>
      <c r="P26" s="258"/>
    </row>
    <row r="27" spans="2:16" ht="20.149999999999999" customHeight="1" x14ac:dyDescent="0.45">
      <c r="B27" s="70"/>
      <c r="C27" s="45"/>
      <c r="D27" s="430"/>
      <c r="E27" s="430"/>
      <c r="F27" s="430"/>
      <c r="G27" s="233"/>
      <c r="H27" s="65"/>
      <c r="I27" s="431"/>
      <c r="J27" s="431"/>
      <c r="K27" s="22"/>
      <c r="L27" s="98"/>
      <c r="N27" s="258"/>
      <c r="O27" s="258"/>
      <c r="P27" s="258"/>
    </row>
    <row r="28" spans="2:16" ht="20.149999999999999" customHeight="1" thickBot="1" x14ac:dyDescent="0.5">
      <c r="B28" s="24"/>
      <c r="C28" s="25"/>
      <c r="D28" s="73"/>
      <c r="E28" s="73"/>
      <c r="F28" s="73"/>
      <c r="G28" s="25"/>
      <c r="H28" s="66"/>
      <c r="I28" s="540"/>
      <c r="J28" s="540"/>
      <c r="K28" s="26"/>
      <c r="L28" s="74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474" t="s">
        <v>13</v>
      </c>
      <c r="K30" s="475"/>
      <c r="L30" s="30">
        <f>SUM(L17:L29)</f>
        <v>0</v>
      </c>
      <c r="M30" s="95">
        <f>SUM(P18:P28)-L31</f>
        <v>0</v>
      </c>
      <c r="N30" s="248" t="e">
        <f>M30/L30</f>
        <v>#DIV/0!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0" t="s">
        <v>553</v>
      </c>
      <c r="K31" s="113">
        <v>6.54E-2</v>
      </c>
      <c r="L31" s="32">
        <f>L33</f>
        <v>0</v>
      </c>
    </row>
    <row r="32" spans="2:16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476" t="s">
        <v>555</v>
      </c>
      <c r="K32" s="477"/>
      <c r="L32" s="114">
        <f>L30/108*100</f>
        <v>0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1" t="s">
        <v>554</v>
      </c>
      <c r="K33" s="112">
        <v>0.08</v>
      </c>
      <c r="L33" s="44">
        <f>L32*K33</f>
        <v>0</v>
      </c>
    </row>
    <row r="34" spans="2:12" ht="20.149999999999999" customHeight="1" thickBot="1" x14ac:dyDescent="0.5">
      <c r="B34" s="11" t="s">
        <v>748</v>
      </c>
      <c r="C34" s="10"/>
      <c r="D34" s="10"/>
      <c r="E34" s="10"/>
      <c r="F34" s="10"/>
      <c r="G34" s="10"/>
      <c r="H34" s="10"/>
      <c r="I34" s="10"/>
      <c r="J34" s="478" t="s">
        <v>21</v>
      </c>
      <c r="K34" s="479"/>
      <c r="L34" s="33">
        <f>L32+L33</f>
        <v>0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83" t="s">
        <v>749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6:F26"/>
    <mergeCell ref="I26:J26"/>
    <mergeCell ref="J34:K34"/>
    <mergeCell ref="D27:F27"/>
    <mergeCell ref="I27:J27"/>
    <mergeCell ref="I28:J28"/>
    <mergeCell ref="J30:K30"/>
    <mergeCell ref="J32:K32"/>
  </mergeCells>
  <conditionalFormatting sqref="C25:C27">
    <cfRule type="duplicateValues" dxfId="53" priority="174"/>
  </conditionalFormatting>
  <conditionalFormatting sqref="C26:C27">
    <cfRule type="duplicateValues" dxfId="52" priority="1"/>
  </conditionalFormatting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EDDCC-B21C-4713-9338-DE3EE2D6425E}">
  <sheetPr codeName="Sheet78">
    <tabColor rgb="FF7030A0"/>
    <pageSetUpPr fitToPage="1"/>
  </sheetPr>
  <dimension ref="B1:V46"/>
  <sheetViews>
    <sheetView topLeftCell="A18" zoomScaleNormal="100" workbookViewId="0">
      <selection activeCell="C29" sqref="C2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2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2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2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2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2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2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2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2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22" ht="19" thickBot="1" x14ac:dyDescent="0.5"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499</v>
      </c>
      <c r="J10" s="17" t="s">
        <v>26</v>
      </c>
      <c r="K10" s="455">
        <v>202210318</v>
      </c>
      <c r="L10" s="456"/>
      <c r="N10" s="437" t="s">
        <v>1283</v>
      </c>
      <c r="O10" s="437"/>
      <c r="P10" s="437"/>
      <c r="Q10" s="437"/>
      <c r="R10" s="437"/>
      <c r="S10" s="65"/>
      <c r="T10" s="65"/>
      <c r="U10" s="65"/>
      <c r="V10" s="96"/>
    </row>
    <row r="11" spans="2:2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TEL: 83824983                                          Blk 399, Taman Jurong  Shopping Centre. #01-16 Singapore 610399</v>
      </c>
      <c r="G11" s="445"/>
      <c r="H11" s="446"/>
      <c r="J11" s="18" t="s">
        <v>9</v>
      </c>
      <c r="K11" s="542">
        <v>44852</v>
      </c>
      <c r="L11" s="543"/>
      <c r="N11" s="97" t="s">
        <v>1077</v>
      </c>
      <c r="O11" s="430" t="str">
        <f>VLOOKUP(N11,'Sales Master'!B$3:D$644,2,0)</f>
        <v>Brown Sugar 黑糖</v>
      </c>
      <c r="P11" s="430"/>
      <c r="Q11" s="430"/>
      <c r="R11" s="99">
        <v>1</v>
      </c>
      <c r="S11" s="65" t="str">
        <f>VLOOKUP(N11,'Sales Master'!B$3:F$936,5,0)</f>
        <v>6 kgs</v>
      </c>
      <c r="T11" s="431" t="str">
        <f>VLOOKUP(N11,'Sales Master'!B$3:E$936,4,0)</f>
        <v>Star</v>
      </c>
      <c r="U11" s="431"/>
      <c r="V11" s="22">
        <v>14</v>
      </c>
    </row>
    <row r="12" spans="2:2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N12" s="97" t="s">
        <v>818</v>
      </c>
      <c r="O12" s="430" t="str">
        <f>VLOOKUP(N12,'Sales Master'!B$3:D$644,2,0)</f>
        <v xml:space="preserve">Fresh Soursop 红毛榴莲 </v>
      </c>
      <c r="P12" s="430"/>
      <c r="Q12" s="430"/>
      <c r="R12" s="99">
        <v>1</v>
      </c>
      <c r="S12" s="65" t="str">
        <f>VLOOKUP(N12,'Sales Master'!B$3:F$936,5,0)</f>
        <v>1 KG/ Box盒</v>
      </c>
      <c r="T12" s="431" t="str">
        <f>VLOOKUP(N12,'Sales Master'!B$3:E$936,4,0)</f>
        <v>DO!</v>
      </c>
      <c r="U12" s="431"/>
      <c r="V12" s="22">
        <v>7.5</v>
      </c>
    </row>
    <row r="13" spans="2:2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  <c r="N13" s="97" t="s">
        <v>820</v>
      </c>
      <c r="O13" s="430" t="str">
        <f>VLOOKUP(N13,'Sales Master'!B$3:D$644,2,0)</f>
        <v>Durian Puree 榴莲浆</v>
      </c>
      <c r="P13" s="430"/>
      <c r="Q13" s="430"/>
      <c r="R13" s="99">
        <v>1</v>
      </c>
      <c r="S13" s="65" t="str">
        <f>VLOOKUP(N13,'Sales Master'!B$3:F$936,5,0)</f>
        <v>Box/盒</v>
      </c>
      <c r="T13" s="431" t="str">
        <f>VLOOKUP(N13,'Sales Master'!B$3:E$936,4,0)</f>
        <v>DO!</v>
      </c>
      <c r="U13" s="431"/>
      <c r="V13" s="22">
        <v>7</v>
      </c>
    </row>
    <row r="14" spans="2:2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22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483"/>
      <c r="L15" s="484"/>
    </row>
    <row r="16" spans="2:2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99" t="s">
        <v>862</v>
      </c>
      <c r="D18" s="430" t="str">
        <f>VLOOKUP(C18,'Sales Master'!B$3:D$644,2,0)</f>
        <v>Fresh Soursop Seedless 红毛榴莲(无)</v>
      </c>
      <c r="E18" s="430"/>
      <c r="F18" s="430"/>
      <c r="G18" s="99">
        <v>3</v>
      </c>
      <c r="H18" s="241" t="str">
        <f>VLOOKUP(C18,'Sales Master'!B$3:F$936,5,0)</f>
        <v>Box/盒</v>
      </c>
      <c r="I18" s="432" t="str">
        <f>VLOOKUP(C18,'Sales Master'!B$3:E$936,4,0)</f>
        <v>DO!</v>
      </c>
      <c r="J18" s="432"/>
      <c r="K18" s="22">
        <f>VLOOKUP(C18,'Sales Master'!B$3:AS$936,44,0)</f>
        <v>10</v>
      </c>
      <c r="L18" s="23">
        <f>K18*G18</f>
        <v>30</v>
      </c>
      <c r="N18" s="247">
        <f>VLOOKUP(C18,'Sales Master'!$B$3:$FA$3051,156,0)</f>
        <v>5.13</v>
      </c>
      <c r="O18" s="247">
        <f>K18-N18</f>
        <v>4.87</v>
      </c>
      <c r="P18" s="247">
        <f>O18*G18</f>
        <v>14.61</v>
      </c>
    </row>
    <row r="19" spans="2:16" ht="20.149999999999999" customHeight="1" x14ac:dyDescent="0.45">
      <c r="B19" s="21"/>
      <c r="C19" s="99" t="s">
        <v>857</v>
      </c>
      <c r="D19" s="430" t="str">
        <f>VLOOKUP(C19,'Sales Master'!B$3:D$644,2,0)</f>
        <v>Sea Coconut 海底椰</v>
      </c>
      <c r="E19" s="430"/>
      <c r="F19" s="430"/>
      <c r="G19" s="99">
        <v>1</v>
      </c>
      <c r="H19" s="241" t="str">
        <f>VLOOKUP(C19,'Sales Master'!B$3:F$936,5,0)</f>
        <v>(565gm x 12)/箱</v>
      </c>
      <c r="I19" s="432" t="str">
        <f>VLOOKUP(C19,'Sales Master'!B$3:E$936,4,0)</f>
        <v>MiLi</v>
      </c>
      <c r="J19" s="432"/>
      <c r="K19" s="22">
        <f>VLOOKUP(C19,'Sales Master'!B$3:AS$936,44,0)</f>
        <v>28</v>
      </c>
      <c r="L19" s="23">
        <f>K19*G19</f>
        <v>28</v>
      </c>
      <c r="N19" s="247">
        <f>VLOOKUP(C19,'Sales Master'!$B$3:$FA$3051,156,0)</f>
        <v>25</v>
      </c>
      <c r="O19" s="247">
        <f>K19-N19</f>
        <v>3</v>
      </c>
      <c r="P19" s="247">
        <f>O19*G19</f>
        <v>3</v>
      </c>
    </row>
    <row r="20" spans="2:16" ht="20.149999999999999" customHeight="1" x14ac:dyDescent="0.45">
      <c r="B20" s="21"/>
      <c r="C20" s="99" t="s">
        <v>1027</v>
      </c>
      <c r="D20" s="430" t="str">
        <f>VLOOKUP(C20,'Sales Master'!B$3:D$644,2,0)</f>
        <v>Longan in Syrup 龙眼</v>
      </c>
      <c r="E20" s="430"/>
      <c r="F20" s="430"/>
      <c r="G20" s="99">
        <v>1</v>
      </c>
      <c r="H20" s="241" t="str">
        <f>VLOOKUP(C20,'Sales Master'!B$3:F$936,5,0)</f>
        <v>(565gm x 12)/箱</v>
      </c>
      <c r="I20" s="432" t="str">
        <f>VLOOKUP(C20,'Sales Master'!B$3:E$936,4,0)</f>
        <v>YiFong</v>
      </c>
      <c r="J20" s="432"/>
      <c r="K20" s="22">
        <f>VLOOKUP(C20,'Sales Master'!B$3:AS$936,44,0)</f>
        <v>25</v>
      </c>
      <c r="L20" s="23">
        <f>K20*G20</f>
        <v>25</v>
      </c>
      <c r="N20" s="247">
        <f>VLOOKUP(C20,'Sales Master'!$B$3:$FA$3051,156,0)</f>
        <v>19.534883720930232</v>
      </c>
      <c r="O20" s="247">
        <f>K20-N20</f>
        <v>5.4651162790697683</v>
      </c>
      <c r="P20" s="247">
        <f>O20*G20</f>
        <v>5.4651162790697683</v>
      </c>
    </row>
    <row r="21" spans="2:16" ht="20.149999999999999" customHeight="1" x14ac:dyDescent="0.45">
      <c r="B21" s="21"/>
      <c r="C21" s="99" t="s">
        <v>1044</v>
      </c>
      <c r="D21" s="430" t="str">
        <f>VLOOKUP(C21,'Sales Master'!B$3:D$644,2,0)</f>
        <v>Carnation Milk 三花淡奶水</v>
      </c>
      <c r="E21" s="430"/>
      <c r="F21" s="430"/>
      <c r="G21" s="99">
        <v>1</v>
      </c>
      <c r="H21" s="241" t="str">
        <f>VLOOKUP(C21,'Sales Master'!B$3:F$936,5,0)</f>
        <v>405 gm x48 can/Ctn</v>
      </c>
      <c r="I21" s="432" t="str">
        <f>VLOOKUP(C21,'Sales Master'!B$3:E$936,4,0)</f>
        <v>Threeflower</v>
      </c>
      <c r="J21" s="432"/>
      <c r="K21" s="22">
        <f>VLOOKUP(C21,'Sales Master'!B$3:AS$936,44,0)</f>
        <v>60</v>
      </c>
      <c r="L21" s="23">
        <f>K21*G21</f>
        <v>60</v>
      </c>
      <c r="N21" s="247">
        <f>VLOOKUP(C21,'Sales Master'!$B$3:$FA$3051,156,0)</f>
        <v>52</v>
      </c>
      <c r="O21" s="247">
        <f>K21-N21</f>
        <v>8</v>
      </c>
      <c r="P21" s="247">
        <f>O21*G21</f>
        <v>8</v>
      </c>
    </row>
    <row r="22" spans="2:16" ht="20.149999999999999" customHeight="1" x14ac:dyDescent="0.45">
      <c r="B22" s="21"/>
      <c r="C22" s="99"/>
      <c r="D22" s="430"/>
      <c r="E22" s="430"/>
      <c r="F22" s="430"/>
      <c r="G22" s="99"/>
      <c r="H22" s="241"/>
      <c r="I22" s="494"/>
      <c r="J22" s="494"/>
      <c r="K22" s="22"/>
      <c r="L22" s="23"/>
      <c r="N22" s="247"/>
      <c r="O22" s="247"/>
      <c r="P22" s="247"/>
    </row>
    <row r="23" spans="2:16" ht="20.149999999999999" customHeight="1" x14ac:dyDescent="0.45">
      <c r="B23" s="21"/>
      <c r="C23" s="99"/>
      <c r="G23" s="99"/>
      <c r="H23" s="241"/>
      <c r="I23" s="494"/>
      <c r="J23" s="494"/>
      <c r="K23" s="22"/>
      <c r="L23" s="23"/>
      <c r="N23" s="247"/>
      <c r="O23" s="247"/>
      <c r="P23" s="247"/>
    </row>
    <row r="24" spans="2:16" ht="20.149999999999999" customHeight="1" x14ac:dyDescent="0.45">
      <c r="B24" s="21"/>
      <c r="C24" s="12" t="s">
        <v>1236</v>
      </c>
      <c r="G24" s="97"/>
      <c r="H24" s="65"/>
      <c r="I24" s="431"/>
      <c r="J24" s="431"/>
      <c r="K24" s="96"/>
      <c r="L24" s="131"/>
    </row>
    <row r="25" spans="2:16" ht="20.149999999999999" customHeight="1" x14ac:dyDescent="0.45">
      <c r="B25" s="21"/>
      <c r="C25" s="69" t="s">
        <v>1363</v>
      </c>
      <c r="D25" s="12"/>
      <c r="E25" s="12"/>
      <c r="F25" s="12"/>
      <c r="G25" s="12"/>
      <c r="H25" s="12"/>
      <c r="I25" s="12"/>
      <c r="J25" s="12"/>
      <c r="K25" s="12"/>
      <c r="L25" s="131"/>
    </row>
    <row r="26" spans="2:16" ht="20.149999999999999" customHeight="1" x14ac:dyDescent="0.45">
      <c r="B26" s="21"/>
      <c r="C26" s="69" t="s">
        <v>1364</v>
      </c>
      <c r="G26" s="45"/>
      <c r="H26" s="65"/>
      <c r="I26" s="65"/>
      <c r="J26" s="65"/>
      <c r="K26" s="96"/>
      <c r="L26" s="131"/>
    </row>
    <row r="27" spans="2:16" ht="20.149999999999999" customHeight="1" x14ac:dyDescent="0.45">
      <c r="B27" s="21"/>
      <c r="L27" s="131"/>
    </row>
    <row r="28" spans="2:16" ht="20.149999999999999" customHeight="1" x14ac:dyDescent="0.45">
      <c r="B28" s="21"/>
      <c r="L28" s="131"/>
    </row>
    <row r="29" spans="2:16" ht="20.149999999999999" customHeight="1" x14ac:dyDescent="0.45">
      <c r="B29" s="21"/>
      <c r="C29" s="305" t="s">
        <v>1458</v>
      </c>
      <c r="E29" s="69"/>
      <c r="F29" s="69"/>
      <c r="G29" s="99"/>
      <c r="H29" s="65"/>
      <c r="I29" s="65"/>
      <c r="J29" s="65"/>
      <c r="K29" s="22"/>
      <c r="L29" s="23"/>
    </row>
    <row r="30" spans="2:16" ht="20.149999999999999" customHeight="1" x14ac:dyDescent="0.45">
      <c r="B30" s="21"/>
      <c r="C30" s="45" t="s">
        <v>1027</v>
      </c>
      <c r="D30" s="430" t="str">
        <f>VLOOKUP(C30,'Sales Master'!B$3:D$643,2,0)</f>
        <v>Longan in Syrup 龙眼</v>
      </c>
      <c r="E30" s="430"/>
      <c r="F30" s="430"/>
      <c r="G30" s="99">
        <v>1</v>
      </c>
      <c r="H30" s="241" t="str">
        <f>VLOOKUP(C30,'Sales Master'!B$3:F$936,5,0)</f>
        <v>(565gm x 12)/箱</v>
      </c>
      <c r="I30" s="432" t="str">
        <f>VLOOKUP(C30,'Sales Master'!B$3:E$936,4,0)</f>
        <v>YiFong</v>
      </c>
      <c r="J30" s="432"/>
      <c r="K30" s="22">
        <v>24</v>
      </c>
      <c r="L30" s="23"/>
      <c r="N30" s="247"/>
      <c r="O30" s="247"/>
      <c r="P30" s="247"/>
    </row>
    <row r="31" spans="2:16" ht="20.149999999999999" customHeight="1" x14ac:dyDescent="0.45">
      <c r="B31" s="21"/>
      <c r="C31" s="45" t="s">
        <v>857</v>
      </c>
      <c r="D31" s="430" t="str">
        <f>VLOOKUP(C31,'Sales Master'!B$3:D$643,2,0)</f>
        <v>Sea Coconut 海底椰</v>
      </c>
      <c r="E31" s="430"/>
      <c r="F31" s="430"/>
      <c r="G31" s="99">
        <v>1</v>
      </c>
      <c r="H31" s="241" t="str">
        <f>VLOOKUP(C31,'Sales Master'!B$3:F$936,5,0)</f>
        <v>(565gm x 12)/箱</v>
      </c>
      <c r="I31" s="432" t="str">
        <f>VLOOKUP(C31,'Sales Master'!B$3:E$936,4,0)</f>
        <v>MiLi</v>
      </c>
      <c r="J31" s="432"/>
      <c r="K31" s="22">
        <v>28</v>
      </c>
      <c r="L31" s="23"/>
      <c r="N31" s="247"/>
      <c r="O31" s="247"/>
      <c r="P31" s="247"/>
    </row>
    <row r="32" spans="2:16" ht="19" customHeight="1" thickBot="1" x14ac:dyDescent="0.5">
      <c r="B32" s="24"/>
      <c r="C32" s="25"/>
      <c r="D32" s="473"/>
      <c r="E32" s="473"/>
      <c r="F32" s="473"/>
      <c r="G32" s="25"/>
      <c r="H32" s="66"/>
      <c r="I32" s="66"/>
      <c r="J32" s="66"/>
      <c r="K32" s="26"/>
      <c r="L32" s="27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>
        <f>SUM(L18:L33)</f>
        <v>143</v>
      </c>
      <c r="M34" s="95">
        <f>SUM(P17:P32)-L34*0.02</f>
        <v>28.215116279069768</v>
      </c>
      <c r="N34" s="248">
        <f>M34/L34</f>
        <v>0.19730850544804035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>
        <f>L37</f>
        <v>10.592592592592593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>
        <f>L34/108*100</f>
        <v>132.40740740740742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0.08</v>
      </c>
      <c r="L37" s="44">
        <f>L36*K37</f>
        <v>10.592592592592593</v>
      </c>
    </row>
    <row r="38" spans="2:14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>
        <f>L36+L37</f>
        <v>143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312"/>
    </row>
    <row r="40" spans="2:14" ht="20.149999999999999" customHeight="1" x14ac:dyDescent="0.45">
      <c r="B40" s="183" t="s">
        <v>749</v>
      </c>
      <c r="L40" s="263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42">
    <mergeCell ref="D31:F31"/>
    <mergeCell ref="I31:J31"/>
    <mergeCell ref="D21:F21"/>
    <mergeCell ref="D18:F18"/>
    <mergeCell ref="I21:J21"/>
    <mergeCell ref="I17:J17"/>
    <mergeCell ref="N10:R10"/>
    <mergeCell ref="T11:U11"/>
    <mergeCell ref="I30:J30"/>
    <mergeCell ref="O13:Q13"/>
    <mergeCell ref="T13:U13"/>
    <mergeCell ref="O12:Q12"/>
    <mergeCell ref="T12:U12"/>
    <mergeCell ref="J38:K38"/>
    <mergeCell ref="O11:Q11"/>
    <mergeCell ref="D32:F32"/>
    <mergeCell ref="J34:K34"/>
    <mergeCell ref="J36:K36"/>
    <mergeCell ref="I24:J24"/>
    <mergeCell ref="D22:F22"/>
    <mergeCell ref="I22:J22"/>
    <mergeCell ref="I18:J18"/>
    <mergeCell ref="D19:F19"/>
    <mergeCell ref="I19:J19"/>
    <mergeCell ref="I20:J20"/>
    <mergeCell ref="I23:J23"/>
    <mergeCell ref="D17:F17"/>
    <mergeCell ref="D20:F20"/>
    <mergeCell ref="D30:F3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9">
    <cfRule type="duplicateValues" dxfId="51" priority="1"/>
  </conditionalFormatting>
  <conditionalFormatting sqref="C30:C31">
    <cfRule type="duplicateValues" dxfId="50" priority="2"/>
  </conditionalFormatting>
  <printOptions horizontalCentered="1"/>
  <pageMargins left="0.70866141732283472" right="0.31496062992125984" top="0.55118110236220474" bottom="0" header="0.31496062992125984" footer="0.31496062992125984"/>
  <pageSetup paperSize="9" scale="75" orientation="portrait" horizontalDpi="300" verticalDpi="30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86C6E-3F53-4873-B90F-38CDDEC6F18B}">
  <sheetPr codeName="Sheet88">
    <tabColor rgb="FF7030A0"/>
    <pageSetUpPr fitToPage="1"/>
  </sheetPr>
  <dimension ref="B1:P45"/>
  <sheetViews>
    <sheetView topLeftCell="B29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4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506</v>
      </c>
      <c r="J10" s="17" t="s">
        <v>26</v>
      </c>
      <c r="K10" s="455">
        <v>202310701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TEL: 64694009                                       Blk 254 Jurong East Street 24         #01-58 Singapore 600254</v>
      </c>
      <c r="G11" s="445"/>
      <c r="H11" s="446"/>
      <c r="J11" s="18" t="s">
        <v>9</v>
      </c>
      <c r="K11" s="460">
        <v>45230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502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847</v>
      </c>
      <c r="D18" s="430" t="str">
        <f>VLOOKUP(C18,'Sales Master'!B$3:D$316,2,0)</f>
        <v>3Q Jelly</v>
      </c>
      <c r="E18" s="430"/>
      <c r="F18" s="430"/>
      <c r="G18" s="45">
        <v>1</v>
      </c>
      <c r="H18" s="314" t="str">
        <f>VLOOKUP(C18,'Sales Master'!B$3:F$936,5,0)</f>
        <v>4 Kgs X 4 Tub/ Ctn</v>
      </c>
      <c r="I18" s="432" t="str">
        <f>VLOOKUP(C18,'Sales Master'!B$3:E$936,4,0)</f>
        <v>T1</v>
      </c>
      <c r="J18" s="432"/>
      <c r="K18" s="22">
        <f>VLOOKUP(C18,'Sales Master'!B$3:BF$527,57,0)</f>
        <v>58</v>
      </c>
      <c r="L18" s="71">
        <f>K18*G18</f>
        <v>58</v>
      </c>
      <c r="N18" s="247">
        <f>VLOOKUP(C18,'Sales Master'!$B$3:$FA$3051,156,0)</f>
        <v>44</v>
      </c>
      <c r="O18" s="247">
        <f>K18-N18</f>
        <v>14</v>
      </c>
      <c r="P18" s="247">
        <f>O18*G18</f>
        <v>14</v>
      </c>
    </row>
    <row r="19" spans="2:16" ht="20.149999999999999" customHeight="1" x14ac:dyDescent="0.45">
      <c r="B19" s="21"/>
      <c r="C19" s="338" t="s">
        <v>866</v>
      </c>
      <c r="D19" s="487" t="str">
        <f>VLOOKUP(C19,'Sales Master'!B$3:D$316,2,0)</f>
        <v>Jelly Powder 文头雪粉 (Carrageenan)</v>
      </c>
      <c r="E19" s="487"/>
      <c r="F19" s="487"/>
      <c r="G19" s="45">
        <v>2</v>
      </c>
      <c r="H19" s="314" t="str">
        <f>VLOOKUP(C19,'Sales Master'!B$3:F$936,5,0)</f>
        <v>42gm x 10PKT/Bag</v>
      </c>
      <c r="I19" s="432" t="str">
        <f>VLOOKUP(C19,'Sales Master'!B$3:E$936,4,0)</f>
        <v>500/4000</v>
      </c>
      <c r="J19" s="432"/>
      <c r="K19" s="22">
        <f>VLOOKUP(C19,'Sales Master'!B$3:BF$527,57,0)</f>
        <v>30</v>
      </c>
      <c r="L19" s="71">
        <f>K19*G19</f>
        <v>60</v>
      </c>
      <c r="N19" s="247">
        <f>VLOOKUP(C19,'Sales Master'!$B$3:$FA$3051,156,0)</f>
        <v>11.55</v>
      </c>
      <c r="O19" s="247">
        <f>K19-N19</f>
        <v>18.45</v>
      </c>
      <c r="P19" s="247">
        <f>O19*G19</f>
        <v>36.9</v>
      </c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6" ht="20.149999999999999" customHeight="1" x14ac:dyDescent="0.45">
      <c r="B21" s="70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6" ht="20.149999999999999" customHeight="1" x14ac:dyDescent="0.45">
      <c r="B22" s="70"/>
      <c r="C22" s="172" t="s">
        <v>1220</v>
      </c>
      <c r="G22" s="45"/>
      <c r="H22" s="65"/>
      <c r="I22" s="431"/>
      <c r="J22" s="431"/>
      <c r="K22" s="22"/>
      <c r="L22" s="71"/>
    </row>
    <row r="23" spans="2:16" ht="20.149999999999999" customHeight="1" x14ac:dyDescent="0.45">
      <c r="B23" s="70"/>
      <c r="C23" s="338" t="s">
        <v>866</v>
      </c>
      <c r="D23" s="487" t="str">
        <f>VLOOKUP(C23,'Sales Master'!B$3:D$316,2,0)</f>
        <v>Jelly Powder 文头雪粉 (Carrageenan)</v>
      </c>
      <c r="E23" s="487"/>
      <c r="F23" s="487"/>
      <c r="G23" s="45">
        <v>1</v>
      </c>
      <c r="H23" s="314" t="str">
        <f>VLOOKUP(C23,'Sales Master'!B$3:F$936,5,0)</f>
        <v>42gm x 10PKT/Bag</v>
      </c>
      <c r="I23" s="432" t="str">
        <f>VLOOKUP(C23,'Sales Master'!B$3:E$936,4,0)</f>
        <v>500/4000</v>
      </c>
      <c r="J23" s="432"/>
      <c r="K23" s="22">
        <v>30</v>
      </c>
      <c r="L23" s="71"/>
    </row>
    <row r="24" spans="2:16" ht="20.149999999999999" customHeight="1" x14ac:dyDescent="0.45">
      <c r="B24" s="21"/>
      <c r="C24" s="45"/>
      <c r="D24" s="430"/>
      <c r="E24" s="430"/>
      <c r="F24" s="430"/>
      <c r="G24" s="45"/>
      <c r="H24" s="241"/>
      <c r="I24" s="432"/>
      <c r="J24" s="432"/>
      <c r="K24" s="22"/>
      <c r="L24" s="23"/>
    </row>
    <row r="25" spans="2:16" ht="20.149999999999999" customHeight="1" x14ac:dyDescent="0.45">
      <c r="B25" s="21"/>
      <c r="C25" s="45"/>
      <c r="D25" s="430"/>
      <c r="E25" s="430"/>
      <c r="F25" s="430"/>
      <c r="G25" s="45"/>
      <c r="H25" s="241"/>
      <c r="I25" s="432"/>
      <c r="J25" s="432"/>
      <c r="K25" s="22"/>
      <c r="L25" s="23"/>
    </row>
    <row r="26" spans="2:16" ht="20.149999999999999" customHeight="1" x14ac:dyDescent="0.45">
      <c r="B26" s="21"/>
      <c r="C26" s="12" t="s">
        <v>1236</v>
      </c>
      <c r="D26" s="69"/>
      <c r="E26" s="69"/>
      <c r="F26" s="69"/>
      <c r="G26" s="45"/>
      <c r="H26" s="241"/>
      <c r="I26" s="322"/>
      <c r="J26" s="322"/>
      <c r="K26" s="22"/>
      <c r="L26" s="23"/>
    </row>
    <row r="27" spans="2:16" ht="20.149999999999999" customHeight="1" x14ac:dyDescent="0.45">
      <c r="B27" s="21"/>
      <c r="C27" s="69" t="s">
        <v>1363</v>
      </c>
      <c r="D27" s="69"/>
      <c r="E27" s="69"/>
      <c r="F27" s="69"/>
      <c r="G27" s="45"/>
      <c r="H27" s="241"/>
      <c r="I27" s="322"/>
      <c r="J27" s="322"/>
      <c r="K27" s="22"/>
      <c r="L27" s="23"/>
    </row>
    <row r="28" spans="2:16" ht="20.149999999999999" customHeight="1" x14ac:dyDescent="0.45">
      <c r="B28" s="21"/>
      <c r="C28" s="69" t="s">
        <v>1364</v>
      </c>
      <c r="D28" s="69"/>
      <c r="E28" s="69"/>
      <c r="F28" s="69"/>
      <c r="G28" s="45"/>
      <c r="H28" s="241"/>
      <c r="I28" s="322"/>
      <c r="J28" s="322"/>
      <c r="K28" s="22"/>
      <c r="L28" s="23"/>
    </row>
    <row r="29" spans="2:16" ht="20.149999999999999" customHeight="1" x14ac:dyDescent="0.45">
      <c r="B29" s="21"/>
      <c r="G29" s="45"/>
      <c r="H29" s="65"/>
      <c r="I29" s="65"/>
      <c r="J29" s="65"/>
      <c r="K29" s="22"/>
      <c r="L29" s="23"/>
    </row>
    <row r="30" spans="2:16" ht="20.149999999999999" customHeight="1" x14ac:dyDescent="0.45">
      <c r="B30" s="21"/>
      <c r="G30" s="45"/>
      <c r="H30" s="65"/>
      <c r="I30" s="65"/>
      <c r="J30" s="65"/>
      <c r="K30" s="22"/>
      <c r="L30" s="23"/>
    </row>
    <row r="31" spans="2:16" ht="20.149999999999999" customHeight="1" thickBot="1" x14ac:dyDescent="0.5">
      <c r="B31" s="24"/>
      <c r="C31" s="25"/>
      <c r="D31" s="473"/>
      <c r="E31" s="473"/>
      <c r="F31" s="473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30">
        <f>SUM(L18:L32)</f>
        <v>118</v>
      </c>
      <c r="M33" s="95">
        <f>SUM(P18:P31)-L33*0.02</f>
        <v>48.54</v>
      </c>
      <c r="N33" s="248">
        <f>M33/L33</f>
        <v>0.41135593220338984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32">
        <f>L36</f>
        <v>8.7407407407407405</v>
      </c>
    </row>
    <row r="35" spans="2:14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114">
        <f>L33/108*100</f>
        <v>109.25925925925925</v>
      </c>
    </row>
    <row r="36" spans="2:14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0.08</v>
      </c>
      <c r="L36" s="44">
        <f>L35*K36</f>
        <v>8.7407407407407405</v>
      </c>
    </row>
    <row r="37" spans="2:14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78" t="s">
        <v>21</v>
      </c>
      <c r="K37" s="479"/>
      <c r="L37" s="33">
        <f>L35+L36</f>
        <v>118</v>
      </c>
    </row>
    <row r="38" spans="2:14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4" ht="20.149999999999999" customHeight="1" x14ac:dyDescent="0.45">
      <c r="B39" s="183" t="s">
        <v>749</v>
      </c>
      <c r="L39" s="29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34"/>
      <c r="C43" s="35"/>
      <c r="D43" s="35"/>
      <c r="J43" s="35"/>
      <c r="K43" s="35"/>
      <c r="L43" s="36"/>
    </row>
    <row r="44" spans="2:14" ht="20.149999999999999" customHeight="1" x14ac:dyDescent="0.45">
      <c r="B44" s="28" t="s">
        <v>24</v>
      </c>
      <c r="J44" s="60" t="s">
        <v>25</v>
      </c>
      <c r="L44" s="29"/>
    </row>
    <row r="45" spans="2:14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4">
    <mergeCell ref="I24:J24"/>
    <mergeCell ref="I25:J25"/>
    <mergeCell ref="B1:L8"/>
    <mergeCell ref="J37:K37"/>
    <mergeCell ref="D24:F24"/>
    <mergeCell ref="D25:F25"/>
    <mergeCell ref="D31:F31"/>
    <mergeCell ref="J33:K33"/>
    <mergeCell ref="J35:K35"/>
    <mergeCell ref="D21:F21"/>
    <mergeCell ref="I21:J21"/>
    <mergeCell ref="I22:J22"/>
    <mergeCell ref="D23:F23"/>
    <mergeCell ref="I23:J23"/>
    <mergeCell ref="D20:F20"/>
    <mergeCell ref="I20:J20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2">
    <cfRule type="duplicateValues" dxfId="49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11D4-D9EF-48F3-9C7C-A5F0944FC54F}">
  <sheetPr codeName="Sheet69">
    <tabColor rgb="FFFFC000"/>
    <pageSetUpPr fitToPage="1"/>
  </sheetPr>
  <dimension ref="B8:P51"/>
  <sheetViews>
    <sheetView topLeftCell="A7" zoomScaleNormal="100" workbookViewId="0">
      <selection activeCell="B1" sqref="B1:L5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8" spans="2:14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513</v>
      </c>
      <c r="J10" s="17" t="s">
        <v>26</v>
      </c>
      <c r="K10" s="455">
        <v>202311102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传统甜品                                                   Blk 232, Ang Mo Kio                          #01-1210 Singapore 560232</v>
      </c>
      <c r="G11" s="445"/>
      <c r="H11" s="446"/>
      <c r="J11" s="18" t="s">
        <v>9</v>
      </c>
      <c r="K11" s="460">
        <v>45234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  <c r="N14" s="172" t="s">
        <v>618</v>
      </c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  <c r="N15" s="69" t="s">
        <v>609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70"/>
      <c r="C18" s="338" t="s">
        <v>831</v>
      </c>
      <c r="D18" s="430" t="str">
        <f>VLOOKUP(C18,'Sales Master'!B$3:D$644,2,0)</f>
        <v>Chendol 浆咯</v>
      </c>
      <c r="E18" s="430"/>
      <c r="F18" s="430"/>
      <c r="G18" s="45">
        <v>1</v>
      </c>
      <c r="H18" s="241" t="str">
        <f>VLOOKUP(C18,'Sales Master'!B$3:F$936,5,0)</f>
        <v>NW(2.2:0.8) 3 KGS/ Bag</v>
      </c>
      <c r="I18" s="432" t="str">
        <f>VLOOKUP(C18,'Sales Master'!B$3:E$936,4,0)</f>
        <v>DO!</v>
      </c>
      <c r="J18" s="432"/>
      <c r="K18" s="96">
        <f>VLOOKUP(C18,'Sales Master'!B$3:BS$527,70,0)</f>
        <v>7</v>
      </c>
      <c r="L18" s="98">
        <f t="shared" ref="L18" si="0">K18*G18</f>
        <v>7</v>
      </c>
      <c r="N18" s="247">
        <f>VLOOKUP(C18,'Sales Master'!$B$3:$FA$3051,156,0)</f>
        <v>2.44</v>
      </c>
      <c r="O18" s="247">
        <f t="shared" ref="O18" si="1">K18-N18</f>
        <v>4.5600000000000005</v>
      </c>
      <c r="P18" s="247">
        <f t="shared" ref="P18" si="2">O18*G18</f>
        <v>4.5600000000000005</v>
      </c>
    </row>
    <row r="19" spans="2:16" ht="20.149999999999999" customHeight="1" x14ac:dyDescent="0.45">
      <c r="B19" s="70"/>
      <c r="C19" s="338" t="s">
        <v>820</v>
      </c>
      <c r="D19" s="430" t="str">
        <f>VLOOKUP(C19,'Sales Master'!B$3:D$644,2,0)</f>
        <v>Durian Puree 榴莲浆</v>
      </c>
      <c r="E19" s="430"/>
      <c r="F19" s="430"/>
      <c r="G19" s="45">
        <v>1</v>
      </c>
      <c r="H19" s="241" t="str">
        <f>VLOOKUP(C19,'Sales Master'!B$3:F$936,5,0)</f>
        <v>Box/盒</v>
      </c>
      <c r="I19" s="432" t="str">
        <f>VLOOKUP(C19,'Sales Master'!B$3:E$936,4,0)</f>
        <v>DO!</v>
      </c>
      <c r="J19" s="432"/>
      <c r="K19" s="96">
        <f>VLOOKUP(C19,'Sales Master'!B$3:BS$527,70,0)</f>
        <v>9</v>
      </c>
      <c r="L19" s="98">
        <f t="shared" ref="L19" si="3">K19*G19</f>
        <v>9</v>
      </c>
      <c r="N19" s="247">
        <f>VLOOKUP(C19,'Sales Master'!$B$3:$FA$3051,156,0)</f>
        <v>4.71</v>
      </c>
      <c r="O19" s="247">
        <f t="shared" ref="O19" si="4">K19-N19</f>
        <v>4.29</v>
      </c>
      <c r="P19" s="247">
        <f t="shared" ref="P19" si="5">O19*G19</f>
        <v>4.29</v>
      </c>
    </row>
    <row r="20" spans="2:16" ht="20.149999999999999" customHeight="1" x14ac:dyDescent="0.45">
      <c r="B20" s="70"/>
      <c r="C20" s="338" t="s">
        <v>903</v>
      </c>
      <c r="D20" s="430" t="str">
        <f>VLOOKUP(C20,'Sales Master'!B$3:D$644,2,0)</f>
        <v>Potato Starch 风车粉</v>
      </c>
      <c r="E20" s="430"/>
      <c r="F20" s="430"/>
      <c r="G20" s="45">
        <v>1</v>
      </c>
      <c r="H20" s="241" t="str">
        <f>VLOOKUP(C20,'Sales Master'!B$3:F$936,5,0)</f>
        <v>5 kg</v>
      </c>
      <c r="I20" s="432" t="str">
        <f>VLOOKUP(C20,'Sales Master'!B$3:E$936,4,0)</f>
        <v>RE-PACK</v>
      </c>
      <c r="J20" s="432"/>
      <c r="K20" s="96">
        <f>VLOOKUP(C20,'Sales Master'!B$3:BS$527,70,0)</f>
        <v>15</v>
      </c>
      <c r="L20" s="98">
        <f>K20*G20</f>
        <v>15</v>
      </c>
      <c r="N20" s="247">
        <f>VLOOKUP(C20,'Sales Master'!$B$3:$FA$3051,156,0)</f>
        <v>8</v>
      </c>
      <c r="O20" s="247">
        <f>K20-N20</f>
        <v>7</v>
      </c>
      <c r="P20" s="247">
        <f>O20*G20</f>
        <v>7</v>
      </c>
    </row>
    <row r="21" spans="2:16" ht="20.149999999999999" customHeight="1" x14ac:dyDescent="0.45">
      <c r="B21" s="70"/>
      <c r="C21" s="338" t="s">
        <v>918</v>
      </c>
      <c r="D21" s="430" t="str">
        <f>VLOOKUP(C21,'Sales Master'!B$3:D$644,2,0)</f>
        <v>Chin Chow 仙草</v>
      </c>
      <c r="E21" s="430"/>
      <c r="F21" s="430"/>
      <c r="G21" s="45">
        <v>1</v>
      </c>
      <c r="H21" s="241" t="str">
        <f>VLOOKUP(C21,'Sales Master'!B$3:F$936,5,0)</f>
        <v>5KGS/PKT</v>
      </c>
      <c r="I21" s="432" t="str">
        <f>VLOOKUP(C21,'Sales Master'!B$3:E$936,4,0)</f>
        <v>TSM</v>
      </c>
      <c r="J21" s="432"/>
      <c r="K21" s="96">
        <f>VLOOKUP(C21,'Sales Master'!B$3:BS$527,70,0)</f>
        <v>5</v>
      </c>
      <c r="L21" s="98">
        <f>K21*G21</f>
        <v>5</v>
      </c>
      <c r="N21" s="247">
        <f>VLOOKUP(C21,'Sales Master'!$B$3:$FA$3051,156,0)</f>
        <v>4.32</v>
      </c>
      <c r="O21" s="247">
        <f>K21-N21</f>
        <v>0.67999999999999972</v>
      </c>
      <c r="P21" s="247">
        <f>O21*G21</f>
        <v>0.67999999999999972</v>
      </c>
    </row>
    <row r="22" spans="2:16" ht="20.149999999999999" customHeight="1" x14ac:dyDescent="0.45">
      <c r="B22" s="70"/>
      <c r="C22" s="338" t="s">
        <v>924</v>
      </c>
      <c r="D22" s="430" t="str">
        <f>VLOOKUP(C22,'Sales Master'!B$3:D$644,2,0)</f>
        <v>Red Bean 红豆</v>
      </c>
      <c r="E22" s="430"/>
      <c r="F22" s="430"/>
      <c r="G22" s="45">
        <v>2</v>
      </c>
      <c r="H22" s="241" t="str">
        <f>VLOOKUP(C22,'Sales Master'!B$3:F$936,5,0)</f>
        <v>5 kgs</v>
      </c>
      <c r="I22" s="432" t="str">
        <f>VLOOKUP(C22,'Sales Master'!B$3:E$936,4,0)</f>
        <v>-</v>
      </c>
      <c r="J22" s="432"/>
      <c r="K22" s="96">
        <f>VLOOKUP(C22,'Sales Master'!B$3:BS$527,70,0)</f>
        <v>19.5</v>
      </c>
      <c r="L22" s="98">
        <f>K22*G22</f>
        <v>39</v>
      </c>
      <c r="N22" s="247">
        <f>VLOOKUP(C22,'Sales Master'!$B$3:$FA$3051,156,0)</f>
        <v>13.5</v>
      </c>
      <c r="O22" s="247">
        <f>K22-N22</f>
        <v>6</v>
      </c>
      <c r="P22" s="247">
        <f>O22*G22</f>
        <v>12</v>
      </c>
    </row>
    <row r="23" spans="2:16" ht="20.149999999999999" customHeight="1" x14ac:dyDescent="0.45">
      <c r="B23" s="70"/>
      <c r="C23" s="338" t="s">
        <v>937</v>
      </c>
      <c r="D23" s="430" t="str">
        <f>VLOOKUP(C23,'Sales Master'!B$3:D$644,2,0)</f>
        <v>Green Bean 绿豆</v>
      </c>
      <c r="E23" s="430"/>
      <c r="F23" s="430"/>
      <c r="G23" s="45">
        <v>2</v>
      </c>
      <c r="H23" s="241" t="str">
        <f>VLOOKUP(C23,'Sales Master'!B$3:F$936,5,0)</f>
        <v>5 KGS</v>
      </c>
      <c r="I23" s="432" t="str">
        <f>VLOOKUP(C23,'Sales Master'!B$3:E$936,4,0)</f>
        <v>-</v>
      </c>
      <c r="J23" s="432"/>
      <c r="K23" s="96">
        <f>VLOOKUP(C23,'Sales Master'!B$3:BS$527,70,0)</f>
        <v>13.5</v>
      </c>
      <c r="L23" s="98">
        <f t="shared" ref="L23" si="6">K23*G23</f>
        <v>27</v>
      </c>
      <c r="N23" s="247">
        <f>VLOOKUP(C23,'Sales Master'!$B$3:$FA$3051,156,0)</f>
        <v>9.7199999999999989</v>
      </c>
      <c r="O23" s="247">
        <f t="shared" ref="O23" si="7">K23-N23</f>
        <v>3.7800000000000011</v>
      </c>
      <c r="P23" s="247">
        <f t="shared" ref="P23" si="8">O23*G23</f>
        <v>7.5600000000000023</v>
      </c>
    </row>
    <row r="24" spans="2:16" ht="20.149999999999999" customHeight="1" x14ac:dyDescent="0.45">
      <c r="B24" s="70"/>
      <c r="C24" s="338" t="s">
        <v>943</v>
      </c>
      <c r="D24" s="430" t="str">
        <f>VLOOKUP(C24,'Sales Master'!B$3:D$644,2,0)</f>
        <v>Split Green Mung Bean 豆爽</v>
      </c>
      <c r="E24" s="430"/>
      <c r="F24" s="430"/>
      <c r="G24" s="45">
        <v>2</v>
      </c>
      <c r="H24" s="241" t="str">
        <f>VLOOKUP(C24,'Sales Master'!B$3:F$936,5,0)</f>
        <v>5 KG</v>
      </c>
      <c r="I24" s="432" t="str">
        <f>VLOOKUP(C24,'Sales Master'!B$3:E$936,4,0)</f>
        <v>SW</v>
      </c>
      <c r="J24" s="432"/>
      <c r="K24" s="96">
        <f>VLOOKUP(C24,'Sales Master'!B$3:BS$527,70,0)</f>
        <v>18</v>
      </c>
      <c r="L24" s="98">
        <f>K24*G24</f>
        <v>36</v>
      </c>
      <c r="N24" s="247">
        <f>VLOOKUP(C24,'Sales Master'!$B$3:$FA$3051,156,0)</f>
        <v>14.040000000000001</v>
      </c>
      <c r="O24" s="247">
        <f>K24-N24</f>
        <v>3.9599999999999991</v>
      </c>
      <c r="P24" s="247">
        <f>O24*G24</f>
        <v>7.9199999999999982</v>
      </c>
    </row>
    <row r="25" spans="2:16" ht="20.149999999999999" customHeight="1" x14ac:dyDescent="0.45">
      <c r="B25" s="70"/>
      <c r="C25" s="338" t="s">
        <v>949</v>
      </c>
      <c r="D25" s="430" t="str">
        <f>VLOOKUP(C25,'Sales Master'!B$3:D$644,2,0)</f>
        <v>Black Glutinous Rice 黑糯米</v>
      </c>
      <c r="E25" s="430"/>
      <c r="F25" s="430"/>
      <c r="G25" s="45">
        <v>1</v>
      </c>
      <c r="H25" s="241" t="str">
        <f>VLOOKUP(C25,'Sales Master'!B$3:F$936,5,0)</f>
        <v>5 kgs</v>
      </c>
      <c r="I25" s="432" t="str">
        <f>VLOOKUP(C25,'Sales Master'!B$3:E$936,4,0)</f>
        <v>-</v>
      </c>
      <c r="J25" s="432"/>
      <c r="K25" s="96">
        <f>VLOOKUP(C25,'Sales Master'!B$3:BS$527,70,0)</f>
        <v>18</v>
      </c>
      <c r="L25" s="98">
        <f>K25*G25</f>
        <v>18</v>
      </c>
      <c r="N25" s="247">
        <f>VLOOKUP(C25,'Sales Master'!$B$3:$FA$3051,156,0)</f>
        <v>12.960000000000003</v>
      </c>
      <c r="O25" s="247">
        <f>K25-N25</f>
        <v>5.0399999999999974</v>
      </c>
      <c r="P25" s="247">
        <f>O25*G25</f>
        <v>5.0399999999999974</v>
      </c>
    </row>
    <row r="26" spans="2:16" ht="20.149999999999999" customHeight="1" x14ac:dyDescent="0.45">
      <c r="B26" s="70"/>
      <c r="C26" s="338" t="s">
        <v>968</v>
      </c>
      <c r="D26" s="430" t="str">
        <f>VLOOKUP(C26,'Sales Master'!B$3:D$644,2,0)</f>
        <v>Dried Longan 龙眼干</v>
      </c>
      <c r="E26" s="430"/>
      <c r="F26" s="430"/>
      <c r="G26" s="45">
        <v>1</v>
      </c>
      <c r="H26" s="241" t="str">
        <f>VLOOKUP(C26,'Sales Master'!B$3:F$936,5,0)</f>
        <v>1 kg</v>
      </c>
      <c r="I26" s="432" t="str">
        <f>VLOOKUP(C26,'Sales Master'!B$3:E$936,4,0)</f>
        <v>AAA</v>
      </c>
      <c r="J26" s="432"/>
      <c r="K26" s="96">
        <f>VLOOKUP(C26,'Sales Master'!B$3:BS$527,70,0)</f>
        <v>13</v>
      </c>
      <c r="L26" s="98">
        <f>K26*G26</f>
        <v>13</v>
      </c>
      <c r="N26" s="247">
        <f>VLOOKUP(C26,'Sales Master'!$B$3:$FA$3051,156,0)</f>
        <v>8.8000000000000007</v>
      </c>
      <c r="O26" s="247">
        <f>K26-N26</f>
        <v>4.1999999999999993</v>
      </c>
      <c r="P26" s="247">
        <f>O26*G26</f>
        <v>4.1999999999999993</v>
      </c>
    </row>
    <row r="27" spans="2:16" ht="20.149999999999999" customHeight="1" x14ac:dyDescent="0.45">
      <c r="B27" s="70"/>
      <c r="C27" s="338" t="s">
        <v>1035</v>
      </c>
      <c r="D27" s="430" t="str">
        <f>VLOOKUP(C27,'Sales Master'!B$3:D$644,2,0)</f>
        <v>Fruit Cocktail 杂果</v>
      </c>
      <c r="E27" s="430"/>
      <c r="F27" s="430"/>
      <c r="G27" s="45">
        <v>1</v>
      </c>
      <c r="H27" s="241" t="str">
        <f>VLOOKUP(C27,'Sales Master'!B$3:F$936,5,0)</f>
        <v>(820gm x 12)/箱</v>
      </c>
      <c r="I27" s="432" t="str">
        <f>VLOOKUP(C27,'Sales Master'!B$3:E$936,4,0)</f>
        <v>Statue</v>
      </c>
      <c r="J27" s="432"/>
      <c r="K27" s="96">
        <f>VLOOKUP(C27,'Sales Master'!B$3:BS$527,70,0)</f>
        <v>34</v>
      </c>
      <c r="L27" s="98">
        <f t="shared" ref="L27" si="9">K27*G27</f>
        <v>34</v>
      </c>
      <c r="N27" s="247">
        <f>VLOOKUP(C27,'Sales Master'!$B$3:$FA$3051,156,0)</f>
        <v>29</v>
      </c>
      <c r="O27" s="247">
        <f t="shared" ref="O27" si="10">K27-N27</f>
        <v>5</v>
      </c>
      <c r="P27" s="247">
        <f t="shared" ref="P27" si="11">O27*G27</f>
        <v>5</v>
      </c>
    </row>
    <row r="28" spans="2:16" ht="20.149999999999999" customHeight="1" x14ac:dyDescent="0.45">
      <c r="B28" s="70"/>
      <c r="C28" s="338" t="s">
        <v>1061</v>
      </c>
      <c r="D28" s="430" t="str">
        <f>VLOOKUP(C28,'Sales Master'!B$3:D$644,2,0)</f>
        <v>Coconut Milk 椰浆</v>
      </c>
      <c r="E28" s="430"/>
      <c r="F28" s="430"/>
      <c r="G28" s="45">
        <v>1</v>
      </c>
      <c r="H28" s="241" t="str">
        <f>VLOOKUP(C28,'Sales Master'!B$3:F$936,5,0)</f>
        <v>(1L x 12bag)/箱</v>
      </c>
      <c r="I28" s="432" t="str">
        <f>VLOOKUP(C28,'Sales Master'!B$3:E$936,4,0)</f>
        <v>Sin-ind</v>
      </c>
      <c r="J28" s="432"/>
      <c r="K28" s="96">
        <f>VLOOKUP(C28,'Sales Master'!B$3:BS$527,70,0)</f>
        <v>41</v>
      </c>
      <c r="L28" s="98">
        <f>K28*G28</f>
        <v>41</v>
      </c>
      <c r="N28" s="247">
        <f>VLOOKUP(C28,'Sales Master'!$B$3:$FA$3051,156,0)</f>
        <v>30.530973451327434</v>
      </c>
      <c r="O28" s="247">
        <f>K28-N28</f>
        <v>10.469026548672566</v>
      </c>
      <c r="P28" s="247">
        <f>O28*G28</f>
        <v>10.469026548672566</v>
      </c>
    </row>
    <row r="29" spans="2:16" ht="20.149999999999999" customHeight="1" x14ac:dyDescent="0.45">
      <c r="B29" s="70"/>
      <c r="C29" s="338" t="s">
        <v>1077</v>
      </c>
      <c r="D29" s="430" t="str">
        <f>VLOOKUP(C29,'Sales Master'!B$3:D$644,2,0)</f>
        <v>Brown Sugar 黑糖</v>
      </c>
      <c r="E29" s="430"/>
      <c r="F29" s="430"/>
      <c r="G29" s="45">
        <v>1</v>
      </c>
      <c r="H29" s="241" t="str">
        <f>VLOOKUP(C29,'Sales Master'!B$3:F$936,5,0)</f>
        <v>6 kgs</v>
      </c>
      <c r="I29" s="432" t="str">
        <f>VLOOKUP(C29,'Sales Master'!B$3:E$936,4,0)</f>
        <v>Star</v>
      </c>
      <c r="J29" s="432"/>
      <c r="K29" s="96">
        <f>VLOOKUP(C29,'Sales Master'!B$3:BS$527,70,0)</f>
        <v>17.5</v>
      </c>
      <c r="L29" s="98">
        <f>K29*G29</f>
        <v>17.5</v>
      </c>
      <c r="N29" s="247">
        <f>VLOOKUP(C29,'Sales Master'!$B$3:$FA$3051,156,0)</f>
        <v>12</v>
      </c>
      <c r="O29" s="247">
        <f>K29-N29</f>
        <v>5.5</v>
      </c>
      <c r="P29" s="247">
        <f>O29*G29</f>
        <v>5.5</v>
      </c>
    </row>
    <row r="30" spans="2:16" ht="20.149999999999999" customHeight="1" x14ac:dyDescent="0.45">
      <c r="B30" s="70"/>
      <c r="C30" s="338" t="s">
        <v>1080</v>
      </c>
      <c r="D30" s="430" t="str">
        <f>VLOOKUP(C30,'Sales Master'!B$3:D$644,2,0)</f>
        <v>Fine Sugar 白糖</v>
      </c>
      <c r="E30" s="430"/>
      <c r="F30" s="430"/>
      <c r="G30" s="45">
        <v>2</v>
      </c>
      <c r="H30" s="241" t="str">
        <f>VLOOKUP(C30,'Sales Master'!B$3:F$936,5,0)</f>
        <v>25 KGS</v>
      </c>
      <c r="I30" s="432" t="str">
        <f>VLOOKUP(C30,'Sales Master'!B$3:E$936,4,0)</f>
        <v>MITR PHOL</v>
      </c>
      <c r="J30" s="432"/>
      <c r="K30" s="96">
        <f>VLOOKUP(C30,'Sales Master'!B$3:BS$527,70,0)</f>
        <v>34</v>
      </c>
      <c r="L30" s="98">
        <f t="shared" ref="L30:L31" si="12">K30*G30</f>
        <v>68</v>
      </c>
      <c r="N30" s="247">
        <f>VLOOKUP(C30,'Sales Master'!$B$3:$FA$3051,156,0)</f>
        <v>26.784000000000002</v>
      </c>
      <c r="O30" s="247">
        <f t="shared" ref="O30:O31" si="13">K30-N30</f>
        <v>7.2159999999999975</v>
      </c>
      <c r="P30" s="247">
        <f t="shared" ref="P30:P31" si="14">O30*G30</f>
        <v>14.431999999999995</v>
      </c>
    </row>
    <row r="31" spans="2:16" ht="20.149999999999999" customHeight="1" x14ac:dyDescent="0.45">
      <c r="B31" s="70"/>
      <c r="C31" s="338" t="s">
        <v>1107</v>
      </c>
      <c r="D31" s="430" t="str">
        <f>VLOOKUP(C31,'Sales Master'!B$3:D$644,2,0)</f>
        <v>Food Coloring - Liquid) 颜色水</v>
      </c>
      <c r="E31" s="430"/>
      <c r="F31" s="430"/>
      <c r="G31" s="45">
        <v>1</v>
      </c>
      <c r="H31" s="241" t="str">
        <f>VLOOKUP(C31,'Sales Master'!B$3:F$936,5,0)</f>
        <v>500 ML/ Btl支</v>
      </c>
      <c r="I31" s="432" t="str">
        <f>VLOOKUP(C31,'Sales Master'!B$3:E$936,4,0)</f>
        <v>Yellow/黄</v>
      </c>
      <c r="J31" s="432"/>
      <c r="K31" s="96">
        <f>VLOOKUP(C31,'Sales Master'!B$3:BS$527,70,0)</f>
        <v>2.5</v>
      </c>
      <c r="L31" s="98">
        <f t="shared" si="12"/>
        <v>2.5</v>
      </c>
      <c r="N31" s="247">
        <f>VLOOKUP(C31,'Sales Master'!$B$3:$FA$3051,156,0)</f>
        <v>1.9872000000000001</v>
      </c>
      <c r="O31" s="247">
        <f t="shared" si="13"/>
        <v>0.51279999999999992</v>
      </c>
      <c r="P31" s="247">
        <f t="shared" si="14"/>
        <v>0.51279999999999992</v>
      </c>
    </row>
    <row r="32" spans="2:16" ht="20.149999999999999" customHeight="1" x14ac:dyDescent="0.45">
      <c r="B32" s="70"/>
      <c r="C32" s="338"/>
      <c r="D32" s="430"/>
      <c r="E32" s="430"/>
      <c r="F32" s="430"/>
      <c r="G32" s="45"/>
      <c r="H32" s="241"/>
      <c r="I32" s="432"/>
      <c r="J32" s="432"/>
      <c r="K32" s="96"/>
      <c r="L32" s="98"/>
      <c r="N32" s="247"/>
      <c r="O32" s="247"/>
      <c r="P32" s="247"/>
    </row>
    <row r="33" spans="2:16" ht="20.149999999999999" customHeight="1" x14ac:dyDescent="0.45">
      <c r="B33" s="70"/>
      <c r="D33" s="69"/>
      <c r="E33" s="69"/>
      <c r="F33" s="69"/>
      <c r="G33" s="45"/>
      <c r="H33" s="241"/>
      <c r="I33" s="322"/>
      <c r="J33" s="322"/>
      <c r="K33" s="96"/>
      <c r="L33" s="98"/>
      <c r="N33" s="247"/>
      <c r="O33" s="247"/>
      <c r="P33" s="247"/>
    </row>
    <row r="34" spans="2:16" ht="20.149999999999999" customHeight="1" x14ac:dyDescent="0.45">
      <c r="B34" s="70"/>
      <c r="C34" s="305" t="s">
        <v>1742</v>
      </c>
      <c r="G34" s="233"/>
      <c r="H34" s="65"/>
      <c r="I34" s="65"/>
      <c r="J34" s="65"/>
      <c r="K34" s="22"/>
      <c r="L34" s="98"/>
      <c r="N34" s="247"/>
      <c r="O34" s="247"/>
      <c r="P34" s="247"/>
    </row>
    <row r="35" spans="2:16" ht="20.149999999999999" customHeight="1" x14ac:dyDescent="0.45">
      <c r="B35" s="70"/>
      <c r="C35" s="338" t="s">
        <v>882</v>
      </c>
      <c r="D35" s="544" t="str">
        <f>VLOOKUP(C35,'Sales Master'!B$3:D$644,2,0)</f>
        <v>Almond Power - Yellow 杏仁粉黄</v>
      </c>
      <c r="E35" s="544"/>
      <c r="F35" s="544"/>
      <c r="G35" s="233">
        <v>1</v>
      </c>
      <c r="H35" s="241" t="str">
        <f>VLOOKUP(C35,'Sales Master'!B$3:F$936,5,0)</f>
        <v>150gm x 10 pkt</v>
      </c>
      <c r="I35" s="432" t="str">
        <f>VLOOKUP(C35,'Sales Master'!B$3:E$936,4,0)</f>
        <v>PH</v>
      </c>
      <c r="J35" s="432"/>
      <c r="K35" s="22">
        <v>66.5</v>
      </c>
      <c r="L35" s="98"/>
      <c r="N35" s="247"/>
      <c r="O35" s="247"/>
      <c r="P35" s="247"/>
    </row>
    <row r="36" spans="2:16" ht="20.149999999999999" customHeight="1" x14ac:dyDescent="0.45">
      <c r="B36" s="70"/>
      <c r="C36" s="338"/>
      <c r="D36" s="69"/>
      <c r="E36" s="69"/>
      <c r="F36" s="69"/>
      <c r="G36" s="45"/>
      <c r="H36" s="241"/>
      <c r="I36" s="322"/>
      <c r="J36" s="322"/>
      <c r="K36" s="96"/>
      <c r="L36" s="98"/>
      <c r="N36" s="247"/>
      <c r="O36" s="247"/>
      <c r="P36" s="247"/>
    </row>
    <row r="37" spans="2:16" ht="20.149999999999999" customHeight="1" x14ac:dyDescent="0.45">
      <c r="B37" s="90"/>
      <c r="C37" s="35"/>
      <c r="D37" s="35"/>
      <c r="E37" s="35"/>
      <c r="F37" s="35"/>
      <c r="G37" s="91"/>
      <c r="H37" s="123"/>
      <c r="I37" s="327"/>
      <c r="J37" s="327"/>
      <c r="K37" s="92"/>
      <c r="L37" s="100"/>
    </row>
    <row r="38" spans="2:16" ht="18.5" customHeight="1" thickBot="1" x14ac:dyDescent="0.5">
      <c r="B38" s="28"/>
      <c r="L38" s="29"/>
    </row>
    <row r="39" spans="2:16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474" t="s">
        <v>13</v>
      </c>
      <c r="K39" s="475"/>
      <c r="L39" s="30">
        <f>SUM(L18:L37)</f>
        <v>332</v>
      </c>
      <c r="M39" s="95">
        <f>SUM(P17:P37)-L39*0.02</f>
        <v>82.523826548672545</v>
      </c>
      <c r="N39" s="405">
        <f>M39-L40</f>
        <v>57.931233956079936</v>
      </c>
    </row>
    <row r="40" spans="2:16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110" t="s">
        <v>553</v>
      </c>
      <c r="K40" s="113">
        <v>6.54E-2</v>
      </c>
      <c r="L40" s="32">
        <f>L39-L41</f>
        <v>24.592592592592609</v>
      </c>
    </row>
    <row r="41" spans="2:16" ht="20.149999999999999" customHeight="1" x14ac:dyDescent="0.45">
      <c r="B41" s="11" t="s">
        <v>18</v>
      </c>
      <c r="C41" s="10"/>
      <c r="D41" s="10"/>
      <c r="E41" s="10"/>
      <c r="F41" s="10"/>
      <c r="G41" s="10"/>
      <c r="H41" s="10"/>
      <c r="I41" s="10"/>
      <c r="J41" s="476" t="s">
        <v>555</v>
      </c>
      <c r="K41" s="477"/>
      <c r="L41" s="114">
        <f>L39/108*100</f>
        <v>307.40740740740739</v>
      </c>
    </row>
    <row r="42" spans="2:16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J42" s="111" t="s">
        <v>554</v>
      </c>
      <c r="K42" s="112">
        <v>0.08</v>
      </c>
      <c r="L42" s="44">
        <f>L41*K42</f>
        <v>24.592592592592592</v>
      </c>
    </row>
    <row r="43" spans="2:16" ht="20.149999999999999" customHeight="1" thickBot="1" x14ac:dyDescent="0.5">
      <c r="B43" s="11" t="s">
        <v>748</v>
      </c>
      <c r="C43" s="10"/>
      <c r="D43" s="10"/>
      <c r="E43" s="10"/>
      <c r="F43" s="10"/>
      <c r="G43" s="10"/>
      <c r="H43" s="10"/>
      <c r="I43" s="10"/>
      <c r="J43" s="478" t="s">
        <v>21</v>
      </c>
      <c r="K43" s="479"/>
      <c r="L43" s="33">
        <f>L41+L42</f>
        <v>332</v>
      </c>
    </row>
    <row r="44" spans="2:16" ht="20.149999999999999" customHeight="1" x14ac:dyDescent="0.45">
      <c r="B44" s="11" t="s">
        <v>23</v>
      </c>
      <c r="C44" s="10"/>
      <c r="D44" s="10"/>
      <c r="E44" s="10"/>
      <c r="F44" s="10"/>
      <c r="G44" s="10"/>
      <c r="H44" s="10"/>
      <c r="I44" s="10"/>
      <c r="L44" s="29"/>
    </row>
    <row r="45" spans="2:16" ht="20.149999999999999" customHeight="1" x14ac:dyDescent="0.45">
      <c r="B45" s="183" t="s">
        <v>749</v>
      </c>
      <c r="L45" s="29"/>
    </row>
    <row r="46" spans="2:16" ht="20.149999999999999" customHeight="1" x14ac:dyDescent="0.45">
      <c r="B46" s="28"/>
      <c r="L46" s="29"/>
    </row>
    <row r="47" spans="2:16" ht="20.149999999999999" customHeight="1" x14ac:dyDescent="0.45">
      <c r="B47" s="28"/>
      <c r="L47" s="29"/>
    </row>
    <row r="48" spans="2:16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24</v>
      </c>
      <c r="J50" s="60" t="s">
        <v>25</v>
      </c>
      <c r="L50" s="29"/>
    </row>
    <row r="51" spans="2:12" ht="19" thickBot="1" x14ac:dyDescent="0.5">
      <c r="B51" s="37"/>
      <c r="C51" s="62"/>
      <c r="D51" s="62"/>
      <c r="E51" s="62"/>
      <c r="F51" s="62"/>
      <c r="G51" s="62"/>
      <c r="H51" s="62"/>
      <c r="I51" s="62"/>
      <c r="J51" s="62"/>
      <c r="K51" s="62"/>
      <c r="L51" s="38"/>
    </row>
  </sheetData>
  <mergeCells count="49">
    <mergeCell ref="J43:K43"/>
    <mergeCell ref="J39:K39"/>
    <mergeCell ref="J41:K41"/>
    <mergeCell ref="D35:F35"/>
    <mergeCell ref="I35:J35"/>
    <mergeCell ref="I25:J25"/>
    <mergeCell ref="D27:F27"/>
    <mergeCell ref="D23:F23"/>
    <mergeCell ref="I27:J27"/>
    <mergeCell ref="D24:F24"/>
    <mergeCell ref="I18:J18"/>
    <mergeCell ref="D18:F18"/>
    <mergeCell ref="I19:J19"/>
    <mergeCell ref="I23:J23"/>
    <mergeCell ref="I21:J21"/>
    <mergeCell ref="D19:F19"/>
    <mergeCell ref="D21:F21"/>
    <mergeCell ref="I22:J22"/>
    <mergeCell ref="D22:F22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31:J31"/>
    <mergeCell ref="I24:J24"/>
    <mergeCell ref="D26:F26"/>
    <mergeCell ref="D32:F32"/>
    <mergeCell ref="D20:F20"/>
    <mergeCell ref="I26:J26"/>
    <mergeCell ref="I32:J32"/>
    <mergeCell ref="I20:J20"/>
    <mergeCell ref="D31:F31"/>
    <mergeCell ref="D30:F30"/>
    <mergeCell ref="I30:J30"/>
    <mergeCell ref="I28:J28"/>
    <mergeCell ref="D28:F28"/>
    <mergeCell ref="I29:J29"/>
    <mergeCell ref="D29:F29"/>
    <mergeCell ref="D25:F25"/>
  </mergeCells>
  <conditionalFormatting sqref="C25 C31 C21:C22 C27">
    <cfRule type="duplicateValues" dxfId="48" priority="303"/>
  </conditionalFormatting>
  <conditionalFormatting sqref="C29">
    <cfRule type="duplicateValues" dxfId="47" priority="292"/>
  </conditionalFormatting>
  <conditionalFormatting sqref="C33 C24">
    <cfRule type="duplicateValues" dxfId="46" priority="302"/>
  </conditionalFormatting>
  <conditionalFormatting sqref="C34">
    <cfRule type="duplicateValues" dxfId="45" priority="3"/>
  </conditionalFormatting>
  <conditionalFormatting sqref="C36">
    <cfRule type="duplicateValues" dxfId="44" priority="246"/>
  </conditionalFormatting>
  <pageMargins left="0.70866141732283472" right="0.31496062992125984" top="0.51181102362204722" bottom="0" header="0.31496062992125984" footer="0.31496062992125984"/>
  <pageSetup paperSize="9" scale="76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BFE13-C7F2-4796-8D96-368A85200F75}">
  <sheetPr codeName="Sheet63">
    <tabColor rgb="FFFFC000"/>
    <pageSetUpPr fitToPage="1"/>
  </sheetPr>
  <dimension ref="B1:P43"/>
  <sheetViews>
    <sheetView topLeftCell="A23"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518</v>
      </c>
      <c r="J10" s="17" t="s">
        <v>26</v>
      </c>
      <c r="K10" s="455">
        <v>202310339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 xml:space="preserve">ZHI YUAN COFFEE STALL                                                           Blk 151A  #01-81 Serangoon North Ave 2 Singapore </v>
      </c>
      <c r="G11" s="445"/>
      <c r="H11" s="446"/>
      <c r="J11" s="18" t="s">
        <v>9</v>
      </c>
      <c r="K11" s="460">
        <v>45215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1080</v>
      </c>
      <c r="D18" s="430" t="str">
        <f>VLOOKUP(C18,'Sales Master'!B$3:D$644,2,0)</f>
        <v>Fine Sugar 白糖</v>
      </c>
      <c r="E18" s="430"/>
      <c r="F18" s="430"/>
      <c r="G18" s="45">
        <v>15</v>
      </c>
      <c r="H18" s="241" t="str">
        <f>VLOOKUP(C18,'Sales Master'!B$3:F$936,5,0)</f>
        <v>25 KGS</v>
      </c>
      <c r="I18" s="432" t="str">
        <f>VLOOKUP(C18,'Sales Master'!B$3:E$936,4,0)</f>
        <v>MITR PHOL</v>
      </c>
      <c r="J18" s="432"/>
      <c r="K18" s="22">
        <f>VLOOKUP(C18,'Sales Master'!B$3:DC$527,106,0)</f>
        <v>33</v>
      </c>
      <c r="L18" s="71">
        <f>K18*G18</f>
        <v>495</v>
      </c>
      <c r="N18" s="247">
        <f>VLOOKUP(C18,'Sales Master'!$B$3:$FA$3051,156,0)</f>
        <v>26.784000000000002</v>
      </c>
      <c r="O18" s="247">
        <f>K18-N18</f>
        <v>6.2159999999999975</v>
      </c>
      <c r="P18" s="247">
        <f>O18*G18</f>
        <v>93.239999999999966</v>
      </c>
    </row>
    <row r="19" spans="2:16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</row>
    <row r="21" spans="2:16" ht="20.149999999999999" customHeight="1" x14ac:dyDescent="0.45">
      <c r="B21" s="21"/>
      <c r="C21" s="275"/>
      <c r="G21" s="99"/>
      <c r="H21" s="65"/>
      <c r="I21" s="65"/>
      <c r="J21" s="65"/>
      <c r="K21" s="96"/>
      <c r="L21" s="71"/>
    </row>
    <row r="22" spans="2:16" ht="20.149999999999999" customHeight="1" x14ac:dyDescent="0.45">
      <c r="B22" s="21"/>
      <c r="C22" s="45"/>
      <c r="D22" s="440"/>
      <c r="E22" s="440"/>
      <c r="F22" s="440"/>
      <c r="G22" s="99"/>
      <c r="H22" s="65"/>
      <c r="I22" s="431"/>
      <c r="J22" s="431"/>
      <c r="K22" s="96"/>
      <c r="L22" s="71"/>
    </row>
    <row r="23" spans="2:16" ht="20.149999999999999" customHeight="1" x14ac:dyDescent="0.45">
      <c r="B23" s="21"/>
      <c r="C23" s="99"/>
      <c r="D23" s="130"/>
      <c r="E23" s="130"/>
      <c r="F23" s="130"/>
      <c r="G23" s="99"/>
      <c r="H23" s="65"/>
      <c r="I23" s="65"/>
      <c r="J23" s="65"/>
      <c r="K23" s="96"/>
      <c r="L23" s="71"/>
    </row>
    <row r="24" spans="2:16" ht="20.149999999999999" customHeight="1" x14ac:dyDescent="0.45">
      <c r="B24" s="70"/>
      <c r="C24" s="140"/>
      <c r="G24" s="99"/>
      <c r="H24" s="65"/>
      <c r="I24" s="65"/>
      <c r="J24" s="65"/>
      <c r="K24" s="96"/>
      <c r="L24" s="71"/>
    </row>
    <row r="25" spans="2:16" ht="20.149999999999999" customHeight="1" x14ac:dyDescent="0.45">
      <c r="B25" s="70"/>
      <c r="C25" s="45"/>
      <c r="D25" s="440"/>
      <c r="E25" s="440"/>
      <c r="F25" s="440"/>
      <c r="G25" s="99"/>
      <c r="H25" s="65"/>
      <c r="I25" s="431"/>
      <c r="J25" s="431"/>
      <c r="K25" s="96"/>
      <c r="L25" s="71"/>
    </row>
    <row r="26" spans="2:16" ht="20.149999999999999" customHeight="1" x14ac:dyDescent="0.45">
      <c r="B26" s="70"/>
      <c r="C26" s="305" t="s">
        <v>1740</v>
      </c>
      <c r="E26" s="69"/>
      <c r="F26" s="69"/>
      <c r="G26" s="99"/>
      <c r="H26" s="65"/>
      <c r="I26" s="65"/>
      <c r="J26" s="65"/>
      <c r="K26" s="22"/>
      <c r="L26" s="71"/>
    </row>
    <row r="27" spans="2:16" ht="20.149999999999999" customHeight="1" x14ac:dyDescent="0.45">
      <c r="B27" s="70"/>
      <c r="C27" s="338" t="s">
        <v>1080</v>
      </c>
      <c r="D27" s="430" t="str">
        <f>VLOOKUP(C27,'Sales Master'!B$3:D$643,2,0)</f>
        <v>Fine Sugar 白糖</v>
      </c>
      <c r="E27" s="430"/>
      <c r="F27" s="430"/>
      <c r="G27" s="99">
        <v>1</v>
      </c>
      <c r="H27" s="65" t="str">
        <f>VLOOKUP(C27,'Sales Master'!B$3:F$936,5,0)</f>
        <v>25 KGS</v>
      </c>
      <c r="I27" s="431" t="str">
        <f>VLOOKUP(C27,'Sales Master'!B$3:E$936,4,0)</f>
        <v>MITR PHOL</v>
      </c>
      <c r="J27" s="431"/>
      <c r="K27" s="22">
        <v>34</v>
      </c>
      <c r="L27" s="71"/>
    </row>
    <row r="28" spans="2:16" ht="20.149999999999999" customHeight="1" x14ac:dyDescent="0.45">
      <c r="B28" s="21"/>
      <c r="C28" s="45"/>
      <c r="D28" s="440"/>
      <c r="E28" s="440"/>
      <c r="F28" s="440"/>
      <c r="G28" s="233"/>
      <c r="H28" s="206"/>
      <c r="I28" s="432"/>
      <c r="J28" s="432"/>
      <c r="K28" s="22"/>
      <c r="L28" s="71"/>
    </row>
    <row r="29" spans="2:16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SUM(L18:L30)</f>
        <v>495</v>
      </c>
      <c r="M31" s="95">
        <f>SUM(P10:P29)-L31*0.02</f>
        <v>83.339999999999961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L31-L33</f>
        <v>36.666666666666686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L31/108*100</f>
        <v>458.33333333333331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0.08</v>
      </c>
      <c r="L34" s="44">
        <f>L33*K34</f>
        <v>36.666666666666664</v>
      </c>
    </row>
    <row r="35" spans="2:12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495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83" t="s">
        <v>749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1">
    <mergeCell ref="D27:F27"/>
    <mergeCell ref="I27:J27"/>
    <mergeCell ref="I18:J18"/>
    <mergeCell ref="D19:F19"/>
    <mergeCell ref="I19:J19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8:F28"/>
    <mergeCell ref="I28:J28"/>
    <mergeCell ref="B1:L8"/>
    <mergeCell ref="J35:K35"/>
    <mergeCell ref="D29:F29"/>
    <mergeCell ref="J31:K31"/>
    <mergeCell ref="J33:K33"/>
    <mergeCell ref="D25:F25"/>
    <mergeCell ref="I25:J25"/>
    <mergeCell ref="D22:F22"/>
    <mergeCell ref="I22:J22"/>
    <mergeCell ref="D17:F17"/>
    <mergeCell ref="I17:J17"/>
    <mergeCell ref="D18:F18"/>
    <mergeCell ref="K10:L10"/>
    <mergeCell ref="B11:D11"/>
  </mergeCells>
  <conditionalFormatting sqref="C24:C25">
    <cfRule type="duplicateValues" dxfId="43" priority="5"/>
  </conditionalFormatting>
  <conditionalFormatting sqref="C25">
    <cfRule type="duplicateValues" dxfId="42" priority="4"/>
  </conditionalFormatting>
  <conditionalFormatting sqref="C26">
    <cfRule type="duplicateValues" dxfId="41" priority="1"/>
  </conditionalFormatting>
  <conditionalFormatting sqref="C27">
    <cfRule type="duplicateValues" dxfId="40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35D74-5986-4811-AF40-00A42CA1B335}">
  <sheetPr codeName="Sheet130">
    <tabColor rgb="FFFFC000"/>
    <pageSetUpPr fitToPage="1"/>
  </sheetPr>
  <dimension ref="B1:P45"/>
  <sheetViews>
    <sheetView topLeftCell="A15" zoomScaleNormal="100" workbookViewId="0">
      <selection activeCell="B1" sqref="B1:L4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521</v>
      </c>
      <c r="J10" s="17" t="s">
        <v>26</v>
      </c>
      <c r="K10" s="455">
        <v>202304053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 xml:space="preserve">CASH SALES                                                                                  Blk 151A  #01-81 Serangoon North Ave 2 Singapore </v>
      </c>
      <c r="G11" s="445"/>
      <c r="H11" s="446"/>
      <c r="J11" s="18" t="s">
        <v>9</v>
      </c>
      <c r="K11" s="502">
        <v>45019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6" ht="20.149999999999999" customHeight="1" x14ac:dyDescent="0.45">
      <c r="B18" s="21"/>
      <c r="C18" s="45" t="s">
        <v>1080</v>
      </c>
      <c r="D18" s="430" t="str">
        <f>VLOOKUP(C18,'Sales Master'!B$3:D$644,2,0)</f>
        <v>Fine Sugar 白糖</v>
      </c>
      <c r="E18" s="430"/>
      <c r="F18" s="430"/>
      <c r="G18" s="45">
        <v>5</v>
      </c>
      <c r="H18" s="241" t="str">
        <f>VLOOKUP(C18,'Sales Master'!B$3:F$936,5,0)</f>
        <v>25 KGS</v>
      </c>
      <c r="I18" s="432" t="str">
        <f>VLOOKUP(C18,'Sales Master'!B$3:E$936,4,0)</f>
        <v>MITR PHOL</v>
      </c>
      <c r="J18" s="432"/>
      <c r="K18" s="22">
        <f>VLOOKUP(C18,'Sales Master'!B$3:DC$527,106,0)</f>
        <v>33</v>
      </c>
      <c r="L18" s="71">
        <f>K18*G18</f>
        <v>165</v>
      </c>
      <c r="N18" s="247">
        <f>VLOOKUP(C18,'Sales Master'!$B$3:$FA$3051,156,0)</f>
        <v>26.784000000000002</v>
      </c>
      <c r="O18" s="247">
        <f>K18-N18</f>
        <v>6.2159999999999975</v>
      </c>
      <c r="P18" s="247">
        <f>O18*G18</f>
        <v>31.079999999999988</v>
      </c>
    </row>
    <row r="19" spans="2:16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6" ht="20.149999999999999" customHeight="1" x14ac:dyDescent="0.45">
      <c r="B20" s="70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6" ht="20.149999999999999" customHeight="1" x14ac:dyDescent="0.45">
      <c r="B21" s="70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6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6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6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6" ht="20.149999999999999" customHeight="1" x14ac:dyDescent="0.45">
      <c r="B25" s="21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6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6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6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6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71"/>
    </row>
    <row r="30" spans="2:16" ht="20.149999999999999" customHeight="1" x14ac:dyDescent="0.45">
      <c r="B30" s="21"/>
      <c r="C30" s="45"/>
      <c r="D30" s="430"/>
      <c r="E30" s="430"/>
      <c r="F30" s="430"/>
      <c r="G30" s="45"/>
      <c r="H30" s="65"/>
      <c r="I30" s="431"/>
      <c r="J30" s="431"/>
      <c r="K30" s="22"/>
      <c r="L30" s="71"/>
    </row>
    <row r="31" spans="2:16" ht="20.149999999999999" customHeight="1" thickBot="1" x14ac:dyDescent="0.5">
      <c r="B31" s="24"/>
      <c r="C31" s="25"/>
      <c r="D31" s="473"/>
      <c r="E31" s="473"/>
      <c r="F31" s="473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30">
        <f>SUM(L18:L32)</f>
        <v>165</v>
      </c>
      <c r="M33" s="95">
        <f>SUM(P18)</f>
        <v>31.079999999999988</v>
      </c>
    </row>
    <row r="34" spans="2:13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32">
        <f>L33-L35</f>
        <v>12.222222222222229</v>
      </c>
    </row>
    <row r="35" spans="2:13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114">
        <f>L33/108*100</f>
        <v>152.77777777777777</v>
      </c>
    </row>
    <row r="36" spans="2:13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0.08</v>
      </c>
      <c r="L36" s="44">
        <f>L35*K36</f>
        <v>12.222222222222221</v>
      </c>
    </row>
    <row r="37" spans="2:13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78" t="s">
        <v>21</v>
      </c>
      <c r="K37" s="479"/>
      <c r="L37" s="33">
        <f>L35+L36</f>
        <v>165</v>
      </c>
    </row>
    <row r="38" spans="2:13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3" ht="20.149999999999999" customHeight="1" x14ac:dyDescent="0.45">
      <c r="B39" s="183" t="s">
        <v>749</v>
      </c>
      <c r="L39" s="29"/>
    </row>
    <row r="40" spans="2:13" ht="20.149999999999999" customHeight="1" x14ac:dyDescent="0.45">
      <c r="B40" s="28"/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24</v>
      </c>
      <c r="J44" s="60" t="s">
        <v>25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5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17:F17"/>
    <mergeCell ref="I17:J17"/>
    <mergeCell ref="D18:F18"/>
    <mergeCell ref="I18:J18"/>
    <mergeCell ref="D19:F19"/>
    <mergeCell ref="I19:J19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B1:L8"/>
    <mergeCell ref="J37:K37"/>
    <mergeCell ref="D29:F29"/>
    <mergeCell ref="I29:J29"/>
    <mergeCell ref="D30:F30"/>
    <mergeCell ref="I30:J30"/>
    <mergeCell ref="D31:F31"/>
    <mergeCell ref="J33:K33"/>
    <mergeCell ref="D27:F27"/>
    <mergeCell ref="I27:J27"/>
    <mergeCell ref="D28:F28"/>
    <mergeCell ref="I28:J28"/>
    <mergeCell ref="J35:K35"/>
    <mergeCell ref="D24:F24"/>
    <mergeCell ref="I24:J24"/>
    <mergeCell ref="D25:F2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BF0FF-9E02-4138-9234-B44A3700D0BA}">
  <sheetPr codeName="Sheet91">
    <tabColor rgb="FF7030A0"/>
    <pageSetUpPr fitToPage="1"/>
  </sheetPr>
  <dimension ref="B1:P1048569"/>
  <sheetViews>
    <sheetView zoomScaleNormal="100" workbookViewId="0">
      <selection activeCell="N30" sqref="N3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2.54296875" style="60"/>
    <col min="12" max="12" width="12.81640625" style="60" bestFit="1" customWidth="1"/>
    <col min="13" max="16384" width="12.54296875" style="60"/>
  </cols>
  <sheetData>
    <row r="1" spans="2:15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N1" s="172" t="s">
        <v>618</v>
      </c>
    </row>
    <row r="2" spans="2:15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5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5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5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5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5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5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430</v>
      </c>
      <c r="J10" s="17" t="s">
        <v>26</v>
      </c>
      <c r="K10" s="455">
        <v>202311059</v>
      </c>
      <c r="L10" s="456"/>
    </row>
    <row r="11" spans="2:15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友谊                                                         Blk 409 Ang Mo Kio Ave 10, #01-09 Singapore 560409</v>
      </c>
      <c r="G11" s="445"/>
      <c r="H11" s="446"/>
      <c r="J11" s="18" t="s">
        <v>9</v>
      </c>
      <c r="K11" s="460">
        <v>45232</v>
      </c>
      <c r="L11" s="461"/>
    </row>
    <row r="12" spans="2:15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  <c r="O12" s="172" t="s">
        <v>1283</v>
      </c>
    </row>
    <row r="13" spans="2:15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5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5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5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816</v>
      </c>
      <c r="D18" s="430" t="str">
        <f>VLOOKUP(C18,'Sales Master'!B$3:D$644,2,0)</f>
        <v xml:space="preserve">Fresh Soursop 红毛榴莲 </v>
      </c>
      <c r="E18" s="430"/>
      <c r="F18" s="430"/>
      <c r="G18" s="45">
        <v>4</v>
      </c>
      <c r="H18" s="241" t="str">
        <f>VLOOKUP(C18,'Sales Master'!B$3:F$936,5,0)</f>
        <v>5 KGS/ Pkt包</v>
      </c>
      <c r="I18" s="432" t="str">
        <f>VLOOKUP(C18,'Sales Master'!B$3:E$936,4,0)</f>
        <v>DO!</v>
      </c>
      <c r="J18" s="432"/>
      <c r="K18" s="22">
        <f>VLOOKUP(C18,'Sales Master'!B$3:AU$527,46,0)</f>
        <v>33</v>
      </c>
      <c r="L18" s="71">
        <f>K18*G18</f>
        <v>132</v>
      </c>
      <c r="N18" s="247">
        <f>VLOOKUP(C18,'Sales Master'!$B$3:$FA$3051,156,0)</f>
        <v>23.67</v>
      </c>
      <c r="O18" s="247">
        <f>K18-N18</f>
        <v>9.3299999999999983</v>
      </c>
      <c r="P18" s="247">
        <f>O18*G18</f>
        <v>37.319999999999993</v>
      </c>
    </row>
    <row r="19" spans="2:16" ht="20.149999999999999" customHeight="1" x14ac:dyDescent="0.45">
      <c r="B19" s="21"/>
      <c r="C19" s="338" t="s">
        <v>1706</v>
      </c>
      <c r="D19" s="430" t="str">
        <f>VLOOKUP(C19,'Sales Master'!B$3:D$644,2,0)</f>
        <v>Fine Sugar 白糖</v>
      </c>
      <c r="E19" s="430"/>
      <c r="F19" s="430"/>
      <c r="G19" s="45">
        <v>10</v>
      </c>
      <c r="H19" s="241" t="str">
        <f>VLOOKUP(C19,'Sales Master'!B$3:F$936,5,0)</f>
        <v>5 kgs</v>
      </c>
      <c r="I19" s="432" t="str">
        <f>VLOOKUP(C19,'Sales Master'!B$3:E$936,4,0)</f>
        <v>MITR PHOL</v>
      </c>
      <c r="J19" s="432"/>
      <c r="K19" s="22">
        <f>VLOOKUP(C19,'Sales Master'!B$3:AU$527,46,0)</f>
        <v>7.2</v>
      </c>
      <c r="L19" s="71">
        <f>K19*G19</f>
        <v>72</v>
      </c>
      <c r="N19" s="247">
        <f>VLOOKUP(C19,'Sales Master'!$B$3:$FA$3051,156,0)</f>
        <v>5.3568000000000007</v>
      </c>
      <c r="O19" s="247">
        <f>K19-N19</f>
        <v>1.8431999999999995</v>
      </c>
      <c r="P19" s="247">
        <f>O19*G19</f>
        <v>18.431999999999995</v>
      </c>
    </row>
    <row r="20" spans="2:16" ht="20.149999999999999" customHeight="1" x14ac:dyDescent="0.45">
      <c r="B20" s="21"/>
      <c r="C20" s="338"/>
      <c r="D20" s="430"/>
      <c r="E20" s="430"/>
      <c r="F20" s="430"/>
      <c r="G20" s="45"/>
      <c r="H20" s="241"/>
      <c r="I20" s="432"/>
      <c r="J20" s="432"/>
      <c r="K20" s="22"/>
      <c r="L20" s="71"/>
      <c r="N20" s="247"/>
      <c r="O20" s="247"/>
      <c r="P20" s="247"/>
    </row>
    <row r="21" spans="2:16" ht="20.149999999999999" customHeight="1" x14ac:dyDescent="0.45">
      <c r="B21" s="21"/>
      <c r="C21" s="338"/>
      <c r="D21" s="430"/>
      <c r="E21" s="430"/>
      <c r="F21" s="430"/>
      <c r="G21" s="45"/>
      <c r="H21" s="241"/>
      <c r="I21" s="432"/>
      <c r="J21" s="432"/>
      <c r="K21" s="22"/>
      <c r="L21" s="71"/>
      <c r="N21" s="247"/>
      <c r="O21" s="247"/>
      <c r="P21" s="247"/>
    </row>
    <row r="22" spans="2:16" ht="20.149999999999999" customHeight="1" x14ac:dyDescent="0.45">
      <c r="B22" s="21"/>
      <c r="C22" s="338"/>
      <c r="D22" s="430"/>
      <c r="E22" s="430"/>
      <c r="F22" s="430"/>
      <c r="G22" s="45"/>
      <c r="H22" s="241"/>
      <c r="I22" s="432"/>
      <c r="J22" s="432"/>
      <c r="K22" s="22"/>
      <c r="L22" s="71"/>
      <c r="N22" s="247"/>
      <c r="O22" s="247"/>
      <c r="P22" s="247"/>
    </row>
    <row r="23" spans="2:16" ht="20.149999999999999" customHeight="1" x14ac:dyDescent="0.45">
      <c r="B23" s="21"/>
      <c r="C23" s="338"/>
      <c r="D23" s="430"/>
      <c r="E23" s="430"/>
      <c r="F23" s="430"/>
      <c r="G23" s="45"/>
      <c r="H23" s="241"/>
      <c r="I23" s="432"/>
      <c r="J23" s="432"/>
      <c r="K23" s="22"/>
      <c r="L23" s="71"/>
      <c r="N23" s="247"/>
      <c r="O23" s="247"/>
      <c r="P23" s="247"/>
    </row>
    <row r="24" spans="2:16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22"/>
      <c r="L24" s="71"/>
      <c r="N24" s="247"/>
      <c r="O24" s="247"/>
      <c r="P24" s="247"/>
    </row>
    <row r="25" spans="2:16" ht="20.149999999999999" customHeight="1" x14ac:dyDescent="0.45">
      <c r="B25" s="21"/>
      <c r="C25" s="305" t="s">
        <v>1741</v>
      </c>
      <c r="E25" s="69"/>
      <c r="F25" s="69"/>
      <c r="G25" s="99"/>
      <c r="H25" s="65"/>
      <c r="I25" s="65"/>
      <c r="J25" s="65"/>
      <c r="K25" s="22"/>
      <c r="L25" s="71"/>
    </row>
    <row r="26" spans="2:16" ht="20.149999999999999" customHeight="1" x14ac:dyDescent="0.45">
      <c r="B26" s="21"/>
      <c r="C26" s="338" t="s">
        <v>1706</v>
      </c>
      <c r="D26" s="430" t="str">
        <f>VLOOKUP(C26,'Sales Master'!B$3:D$644,2,0)</f>
        <v>Fine Sugar 白糖</v>
      </c>
      <c r="E26" s="430"/>
      <c r="F26" s="430"/>
      <c r="G26" s="99">
        <v>1</v>
      </c>
      <c r="H26" s="241" t="str">
        <f>VLOOKUP(C26,'Sales Master'!B$3:F$936,5,0)</f>
        <v>5 kgs</v>
      </c>
      <c r="I26" s="432" t="str">
        <f>VLOOKUP(C26,'Sales Master'!B$3:E$936,4,0)</f>
        <v>MITR PHOL</v>
      </c>
      <c r="J26" s="432"/>
      <c r="K26" s="22">
        <v>7.2</v>
      </c>
      <c r="L26" s="71"/>
    </row>
    <row r="27" spans="2:16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6" ht="20.149999999999999" customHeight="1" thickBot="1" x14ac:dyDescent="0.5">
      <c r="B28" s="24"/>
      <c r="C28" s="25"/>
      <c r="D28" s="73"/>
      <c r="E28" s="73"/>
      <c r="F28" s="73"/>
      <c r="G28" s="25"/>
      <c r="H28" s="66"/>
      <c r="I28" s="540"/>
      <c r="J28" s="540"/>
      <c r="K28" s="26"/>
      <c r="L28" s="74"/>
    </row>
    <row r="29" spans="2:16" ht="20.149999999999999" customHeight="1" x14ac:dyDescent="0.45">
      <c r="B29" s="207"/>
      <c r="C29" s="208"/>
      <c r="D29" s="208"/>
      <c r="E29" s="208"/>
      <c r="F29" s="208"/>
      <c r="G29" s="208"/>
      <c r="H29" s="208"/>
      <c r="I29" s="208"/>
      <c r="J29" s="208"/>
      <c r="K29" s="208"/>
      <c r="L29" s="20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545" t="s">
        <v>13</v>
      </c>
      <c r="K30" s="546"/>
      <c r="L30" s="210">
        <f>SUM(L14:L29)</f>
        <v>204</v>
      </c>
      <c r="M30" s="95">
        <f>SUM(P11:P28)-L30*0.02</f>
        <v>51.67199999999999</v>
      </c>
      <c r="N30" s="419">
        <f>M30-L31</f>
        <v>36.560888888888883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412" t="s">
        <v>553</v>
      </c>
      <c r="K31" s="414">
        <v>6.54E-2</v>
      </c>
      <c r="L31" s="210">
        <f>L33</f>
        <v>15.111111111111111</v>
      </c>
    </row>
    <row r="32" spans="2:16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547" t="s">
        <v>555</v>
      </c>
      <c r="K32" s="548"/>
      <c r="L32" s="211">
        <f>L30/108*100</f>
        <v>188.88888888888889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413" t="s">
        <v>554</v>
      </c>
      <c r="K33" s="415">
        <v>0.08</v>
      </c>
      <c r="L33" s="212">
        <f>L32*K33</f>
        <v>15.111111111111111</v>
      </c>
    </row>
    <row r="34" spans="2:12" ht="20.149999999999999" customHeight="1" x14ac:dyDescent="0.45">
      <c r="B34" s="11" t="s">
        <v>748</v>
      </c>
      <c r="C34" s="10"/>
      <c r="D34" s="10"/>
      <c r="E34" s="10"/>
      <c r="F34" s="10"/>
      <c r="G34" s="10"/>
      <c r="H34" s="10"/>
      <c r="I34" s="10"/>
      <c r="J34" s="545" t="s">
        <v>21</v>
      </c>
      <c r="K34" s="546"/>
      <c r="L34" s="212">
        <f>L32+L33</f>
        <v>204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J35" s="232"/>
      <c r="K35" s="214"/>
      <c r="L35" s="205"/>
    </row>
    <row r="36" spans="2:12" ht="20.149999999999999" customHeight="1" x14ac:dyDescent="0.45">
      <c r="B36" s="183" t="s">
        <v>749</v>
      </c>
      <c r="J36" s="232"/>
      <c r="K36" s="214"/>
      <c r="L36" s="205"/>
    </row>
    <row r="37" spans="2:12" ht="20.149999999999999" customHeight="1" x14ac:dyDescent="0.45">
      <c r="B37" s="183"/>
      <c r="J37" s="232"/>
      <c r="K37" s="214"/>
      <c r="L37" s="205"/>
    </row>
    <row r="38" spans="2:12" ht="20.149999999999999" customHeight="1" x14ac:dyDescent="0.45">
      <c r="B38" s="183"/>
      <c r="J38" s="232"/>
      <c r="K38" s="214"/>
      <c r="L38" s="205"/>
    </row>
    <row r="39" spans="2:12" ht="20.149999999999999" customHeight="1" x14ac:dyDescent="0.45">
      <c r="B39" s="28"/>
      <c r="J39" s="206"/>
      <c r="K39" s="206"/>
      <c r="L39" s="205"/>
    </row>
    <row r="40" spans="2:12" ht="20.149999999999999" customHeight="1" x14ac:dyDescent="0.45">
      <c r="B40" s="34"/>
      <c r="C40" s="35"/>
      <c r="D40" s="35"/>
      <c r="J40" s="35"/>
      <c r="K40" s="35" t="s">
        <v>334</v>
      </c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  <row r="1048569" spans="8:16" x14ac:dyDescent="0.45">
      <c r="H1048569" s="241"/>
      <c r="I1048569" s="432"/>
      <c r="J1048569" s="432"/>
      <c r="K1048569" s="46"/>
      <c r="L1048569" s="343"/>
      <c r="N1048569" s="344"/>
      <c r="O1048569" s="344"/>
      <c r="P1048569" s="344"/>
    </row>
  </sheetData>
  <mergeCells count="38">
    <mergeCell ref="J30:K30"/>
    <mergeCell ref="J32:K32"/>
    <mergeCell ref="J34:K34"/>
    <mergeCell ref="D27:F27"/>
    <mergeCell ref="I27:J27"/>
    <mergeCell ref="I28:J28"/>
    <mergeCell ref="D23:F23"/>
    <mergeCell ref="D24:F24"/>
    <mergeCell ref="I19:J19"/>
    <mergeCell ref="I23:J23"/>
    <mergeCell ref="I24:J24"/>
    <mergeCell ref="D22:F22"/>
    <mergeCell ref="I22:J22"/>
    <mergeCell ref="D20:F20"/>
    <mergeCell ref="D21:F21"/>
    <mergeCell ref="I20:J20"/>
    <mergeCell ref="I21:J21"/>
    <mergeCell ref="I17:J17"/>
    <mergeCell ref="D18:F18"/>
    <mergeCell ref="I18:J18"/>
    <mergeCell ref="B1:L8"/>
    <mergeCell ref="D19:F19"/>
    <mergeCell ref="D26:F26"/>
    <mergeCell ref="I1048569:J1048569"/>
    <mergeCell ref="I26:J26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conditionalFormatting sqref="C25">
    <cfRule type="duplicateValues" dxfId="39" priority="1"/>
  </conditionalFormatting>
  <conditionalFormatting sqref="C26">
    <cfRule type="duplicateValues" dxfId="38" priority="2"/>
  </conditionalFormatting>
  <pageMargins left="0.70866141732283505" right="0.31496062992126" top="0.55118110236220497" bottom="0" header="0.31496062992126" footer="0.31496062992126"/>
  <pageSetup paperSize="9" scale="75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68987-5A8E-4458-84F7-0D8D69D0D435}">
  <sheetPr codeName="Sheet36">
    <tabColor rgb="FF7030A0"/>
    <pageSetUpPr fitToPage="1"/>
  </sheetPr>
  <dimension ref="B1:CV136"/>
  <sheetViews>
    <sheetView topLeftCell="A31" zoomScaleNormal="100" workbookViewId="0">
      <selection activeCell="B1" sqref="B1:L5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6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40" t="s">
        <v>334</v>
      </c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5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5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5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5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5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5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5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  <c r="N8" s="60" t="s">
        <v>885</v>
      </c>
      <c r="O8" s="60" t="s">
        <v>1488</v>
      </c>
    </row>
    <row r="9" spans="2:15" ht="21" customHeight="1" thickBot="1" x14ac:dyDescent="0.5">
      <c r="B9" s="12"/>
      <c r="N9" s="60" t="s">
        <v>910</v>
      </c>
      <c r="O9" s="60" t="s">
        <v>1487</v>
      </c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495</v>
      </c>
      <c r="J10" s="17" t="s">
        <v>26</v>
      </c>
      <c r="K10" s="455">
        <v>202311105</v>
      </c>
      <c r="L10" s="456"/>
      <c r="N10" s="60" t="s">
        <v>1073</v>
      </c>
    </row>
    <row r="11" spans="2:15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TEL: 91682104                                          Blk 416 BEDOK NORTH AVE 2 SINGAPORE 460416</v>
      </c>
      <c r="G11" s="445"/>
      <c r="H11" s="446"/>
      <c r="J11" s="18" t="s">
        <v>9</v>
      </c>
      <c r="K11" s="460">
        <v>45234</v>
      </c>
      <c r="L11" s="461"/>
    </row>
    <row r="12" spans="2:15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5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  <c r="N13" s="172" t="s">
        <v>1173</v>
      </c>
    </row>
    <row r="14" spans="2:15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5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5" ht="19" thickBot="1" x14ac:dyDescent="0.5">
      <c r="J16" s="45"/>
    </row>
    <row r="17" spans="2:17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7" ht="20.149999999999999" customHeight="1" x14ac:dyDescent="0.45">
      <c r="B18" s="21"/>
      <c r="C18" s="338" t="s">
        <v>849</v>
      </c>
      <c r="D18" s="430" t="str">
        <f>VLOOKUP(C18,'Sales Master'!B$3:D$644,2,0)</f>
        <v>Tadpole 蝌蚪</v>
      </c>
      <c r="E18" s="430"/>
      <c r="F18" s="430"/>
      <c r="G18" s="99">
        <v>1</v>
      </c>
      <c r="H18" s="241" t="str">
        <f>VLOOKUP(C18,'Sales Master'!B$3:F$936,5,0)</f>
        <v>1 kg/Bag</v>
      </c>
      <c r="I18" s="432" t="str">
        <f>VLOOKUP(C18,'Sales Master'!B$3:E$936,4,0)</f>
        <v>FJ</v>
      </c>
      <c r="J18" s="432"/>
      <c r="K18" s="96">
        <f>VLOOKUP(C18,'Sales Master'!$B$3:$CV$3133,99,0)</f>
        <v>6.5</v>
      </c>
      <c r="L18" s="23">
        <f t="shared" ref="L18" si="0">K18*G18</f>
        <v>6.5</v>
      </c>
      <c r="N18" s="247">
        <f>VLOOKUP(C18,'Sales Master'!$B$3:$FA$3051,156,0)</f>
        <v>5.5</v>
      </c>
      <c r="O18" s="247">
        <f t="shared" ref="O18" si="1">K18-N18</f>
        <v>1</v>
      </c>
      <c r="P18" s="247">
        <f t="shared" ref="P18" si="2">O18*G18</f>
        <v>1</v>
      </c>
      <c r="Q18" s="95"/>
    </row>
    <row r="19" spans="2:17" ht="20.149999999999999" customHeight="1" x14ac:dyDescent="0.45">
      <c r="B19" s="21"/>
      <c r="C19" s="338" t="s">
        <v>863</v>
      </c>
      <c r="D19" s="430" t="str">
        <f>VLOOKUP(C19,'Sales Master'!B$3:D$644,2,0)</f>
        <v>Chin Chow powder 仙草粉</v>
      </c>
      <c r="E19" s="430"/>
      <c r="F19" s="430"/>
      <c r="G19" s="99">
        <v>1</v>
      </c>
      <c r="H19" s="241" t="str">
        <f>VLOOKUP(C19,'Sales Master'!B$3:F$936,5,0)</f>
        <v>2 kgs (20 X 100GM)</v>
      </c>
      <c r="I19" s="432" t="str">
        <f>VLOOKUP(C19,'Sales Master'!B$3:E$936,4,0)</f>
        <v>-</v>
      </c>
      <c r="J19" s="432"/>
      <c r="K19" s="96">
        <f>VLOOKUP(C19,'Sales Master'!$B$3:$CV$3133,99,0)</f>
        <v>28</v>
      </c>
      <c r="L19" s="23">
        <f t="shared" ref="L19" si="3">K19*G19</f>
        <v>28</v>
      </c>
      <c r="N19" s="247">
        <f>VLOOKUP(C19,'Sales Master'!$B$3:$FA$3051,156,0)</f>
        <v>18.600000000000001</v>
      </c>
      <c r="O19" s="247">
        <f t="shared" ref="O19" si="4">K19-N19</f>
        <v>9.3999999999999986</v>
      </c>
      <c r="P19" s="247">
        <f t="shared" ref="P19" si="5">O19*G19</f>
        <v>9.3999999999999986</v>
      </c>
      <c r="Q19" s="95"/>
    </row>
    <row r="20" spans="2:17" ht="20.149999999999999" customHeight="1" x14ac:dyDescent="0.45">
      <c r="B20" s="21"/>
      <c r="C20" s="338" t="s">
        <v>887</v>
      </c>
      <c r="D20" s="430" t="str">
        <f>VLOOKUP(C20,'Sales Master'!B$3:D$644,2,0)</f>
        <v>Sweet Potato Powder 番薯粉</v>
      </c>
      <c r="E20" s="430"/>
      <c r="F20" s="430"/>
      <c r="G20" s="99">
        <v>2</v>
      </c>
      <c r="H20" s="241" t="str">
        <f>VLOOKUP(C20,'Sales Master'!B$3:F$936,5,0)</f>
        <v>3 kgs</v>
      </c>
      <c r="I20" s="432" t="str">
        <f>VLOOKUP(C20,'Sales Master'!B$3:E$936,4,0)</f>
        <v>RE-PACK</v>
      </c>
      <c r="J20" s="432"/>
      <c r="K20" s="96">
        <f>VLOOKUP(C20,'Sales Master'!$B$3:$CV$3133,99,0)</f>
        <v>11</v>
      </c>
      <c r="L20" s="23">
        <f>K20*G20</f>
        <v>22</v>
      </c>
      <c r="N20" s="247">
        <f>VLOOKUP(C20,'Sales Master'!$B$3:$FA$3051,156,0)</f>
        <v>7.4399999999999995</v>
      </c>
      <c r="O20" s="247">
        <f>K20-N20</f>
        <v>3.5600000000000005</v>
      </c>
      <c r="P20" s="247">
        <f>O20*G20</f>
        <v>7.120000000000001</v>
      </c>
      <c r="Q20" s="95"/>
    </row>
    <row r="21" spans="2:17" ht="20.149999999999999" customHeight="1" x14ac:dyDescent="0.45">
      <c r="B21" s="21"/>
      <c r="C21" s="338" t="s">
        <v>1152</v>
      </c>
      <c r="D21" s="430" t="str">
        <f>VLOOKUP(C21,'Sales Master'!B$3:D$644,2,0)</f>
        <v>Potato Starch 风车粉</v>
      </c>
      <c r="E21" s="430"/>
      <c r="F21" s="430"/>
      <c r="G21" s="99">
        <v>2</v>
      </c>
      <c r="H21" s="241" t="str">
        <f>VLOOKUP(C21,'Sales Master'!B$3:F$936,5,0)</f>
        <v>3 KG</v>
      </c>
      <c r="I21" s="432" t="str">
        <f>VLOOKUP(C21,'Sales Master'!B$3:E$936,4,0)</f>
        <v>RE-PACK</v>
      </c>
      <c r="J21" s="432"/>
      <c r="K21" s="96">
        <f>VLOOKUP(C21,'Sales Master'!$B$3:$CV$3133,99,0)</f>
        <v>10</v>
      </c>
      <c r="L21" s="23">
        <f>K21*G21</f>
        <v>20</v>
      </c>
      <c r="N21" s="247">
        <f>VLOOKUP(C21,'Sales Master'!$B$3:$FA$3051,156,0)</f>
        <v>6.3504000000000005</v>
      </c>
      <c r="O21" s="247">
        <f>K21-N21</f>
        <v>3.6495999999999995</v>
      </c>
      <c r="P21" s="247">
        <f>O21*G21</f>
        <v>7.299199999999999</v>
      </c>
      <c r="Q21" s="95"/>
    </row>
    <row r="22" spans="2:17" ht="20.149999999999999" customHeight="1" x14ac:dyDescent="0.45">
      <c r="B22" s="21"/>
      <c r="C22" s="338" t="s">
        <v>916</v>
      </c>
      <c r="D22" s="430" t="str">
        <f>VLOOKUP(C22,'Sales Master'!B$3:D$644,2,0)</f>
        <v>Atap Seeds in Syrup 亚嗒子</v>
      </c>
      <c r="E22" s="430"/>
      <c r="F22" s="430"/>
      <c r="G22" s="99">
        <v>3</v>
      </c>
      <c r="H22" s="241" t="str">
        <f>VLOOKUP(C22,'Sales Master'!B$3:F$936,5,0)</f>
        <v>NW (1.6:0.6) 2.2 kgs</v>
      </c>
      <c r="I22" s="432" t="str">
        <f>VLOOKUP(C22,'Sales Master'!B$3:E$936,4,0)</f>
        <v>2P</v>
      </c>
      <c r="J22" s="432"/>
      <c r="K22" s="96">
        <f>VLOOKUP(C22,'Sales Master'!$B$3:$CV$3133,99,0)</f>
        <v>9.8000000000000007</v>
      </c>
      <c r="L22" s="23">
        <f>K22*G22</f>
        <v>29.400000000000002</v>
      </c>
      <c r="N22" s="247">
        <f>VLOOKUP(C22,'Sales Master'!$B$3:$FA$3051,156,0)</f>
        <v>8.1462857142857139</v>
      </c>
      <c r="O22" s="247">
        <f>K22-N22</f>
        <v>1.6537142857142868</v>
      </c>
      <c r="P22" s="247">
        <f>O22*G22</f>
        <v>4.9611428571428604</v>
      </c>
      <c r="Q22" s="95"/>
    </row>
    <row r="23" spans="2:17" ht="20.149999999999999" customHeight="1" x14ac:dyDescent="0.45">
      <c r="B23" s="21"/>
      <c r="C23" s="338" t="s">
        <v>924</v>
      </c>
      <c r="D23" s="430" t="str">
        <f>VLOOKUP(C23,'Sales Master'!B$3:D$644,2,0)</f>
        <v>Red Bean 红豆</v>
      </c>
      <c r="E23" s="430"/>
      <c r="F23" s="430"/>
      <c r="G23" s="99">
        <v>2</v>
      </c>
      <c r="H23" s="241" t="str">
        <f>VLOOKUP(C23,'Sales Master'!B$3:F$936,5,0)</f>
        <v>5 kgs</v>
      </c>
      <c r="I23" s="432" t="str">
        <f>VLOOKUP(C23,'Sales Master'!B$3:E$936,4,0)</f>
        <v>-</v>
      </c>
      <c r="J23" s="432"/>
      <c r="K23" s="96">
        <f>VLOOKUP(C23,'Sales Master'!$B$3:$CV$3133,99,0)</f>
        <v>19</v>
      </c>
      <c r="L23" s="23">
        <f>K23*G23</f>
        <v>38</v>
      </c>
      <c r="N23" s="247">
        <f>VLOOKUP(C23,'Sales Master'!$B$3:$FA$3051,156,0)</f>
        <v>13.5</v>
      </c>
      <c r="O23" s="247">
        <f>K23-N23</f>
        <v>5.5</v>
      </c>
      <c r="P23" s="247">
        <f>O23*G23</f>
        <v>11</v>
      </c>
      <c r="Q23" s="95"/>
    </row>
    <row r="24" spans="2:17" ht="20.149999999999999" customHeight="1" x14ac:dyDescent="0.45">
      <c r="B24" s="21"/>
      <c r="C24" s="338" t="s">
        <v>937</v>
      </c>
      <c r="D24" s="430" t="str">
        <f>VLOOKUP(C24,'Sales Master'!B$3:D$644,2,0)</f>
        <v>Green Bean 绿豆</v>
      </c>
      <c r="E24" s="430"/>
      <c r="F24" s="430"/>
      <c r="G24" s="99">
        <v>2</v>
      </c>
      <c r="H24" s="241" t="str">
        <f>VLOOKUP(C24,'Sales Master'!B$3:F$936,5,0)</f>
        <v>5 KGS</v>
      </c>
      <c r="I24" s="432" t="str">
        <f>VLOOKUP(C24,'Sales Master'!B$3:E$936,4,0)</f>
        <v>-</v>
      </c>
      <c r="J24" s="432"/>
      <c r="K24" s="96">
        <f>VLOOKUP(C24,'Sales Master'!$B$3:$CV$3133,99,0)</f>
        <v>14</v>
      </c>
      <c r="L24" s="23">
        <f>K24*G24</f>
        <v>28</v>
      </c>
      <c r="N24" s="247">
        <f>VLOOKUP(C24,'Sales Master'!$B$3:$FA$3051,156,0)</f>
        <v>9.7199999999999989</v>
      </c>
      <c r="O24" s="247">
        <f>K24-N24</f>
        <v>4.2800000000000011</v>
      </c>
      <c r="P24" s="247">
        <f>O24*G24</f>
        <v>8.5600000000000023</v>
      </c>
      <c r="Q24" s="95"/>
    </row>
    <row r="25" spans="2:17" ht="20.149999999999999" customHeight="1" x14ac:dyDescent="0.45">
      <c r="B25" s="21"/>
      <c r="C25" s="338" t="s">
        <v>943</v>
      </c>
      <c r="D25" s="430" t="str">
        <f>VLOOKUP(C25,'Sales Master'!B$3:D$644,2,0)</f>
        <v>Split Green Mung Bean 豆爽</v>
      </c>
      <c r="E25" s="430"/>
      <c r="F25" s="430"/>
      <c r="G25" s="99">
        <v>1</v>
      </c>
      <c r="H25" s="241" t="str">
        <f>VLOOKUP(C25,'Sales Master'!B$3:F$936,5,0)</f>
        <v>5 KG</v>
      </c>
      <c r="I25" s="432" t="str">
        <f>VLOOKUP(C25,'Sales Master'!B$3:E$936,4,0)</f>
        <v>SW</v>
      </c>
      <c r="J25" s="432"/>
      <c r="K25" s="96">
        <f>VLOOKUP(C25,'Sales Master'!$B$3:$CV$3133,99,0)</f>
        <v>16.8</v>
      </c>
      <c r="L25" s="23">
        <f t="shared" ref="L25" si="6">K25*G25</f>
        <v>16.8</v>
      </c>
      <c r="N25" s="247">
        <f>VLOOKUP(C25,'Sales Master'!$B$3:$FA$3051,156,0)</f>
        <v>14.040000000000001</v>
      </c>
      <c r="O25" s="247">
        <f t="shared" ref="O25" si="7">K25-N25</f>
        <v>2.76</v>
      </c>
      <c r="P25" s="247">
        <f t="shared" ref="P25" si="8">O25*G25</f>
        <v>2.76</v>
      </c>
      <c r="Q25" s="95"/>
    </row>
    <row r="26" spans="2:17" ht="20.149999999999999" customHeight="1" x14ac:dyDescent="0.45">
      <c r="B26" s="21"/>
      <c r="C26" s="338" t="s">
        <v>953</v>
      </c>
      <c r="D26" s="430" t="str">
        <f>VLOOKUP(C26,'Sales Master'!B$3:D$644,2,0)</f>
        <v>White Glutinous Rice 白糯米</v>
      </c>
      <c r="E26" s="430"/>
      <c r="F26" s="430"/>
      <c r="G26" s="99">
        <v>1</v>
      </c>
      <c r="H26" s="241" t="str">
        <f>VLOOKUP(C26,'Sales Master'!B$3:F$936,5,0)</f>
        <v>5 kgs</v>
      </c>
      <c r="I26" s="432" t="str">
        <f>VLOOKUP(C26,'Sales Master'!B$3:E$936,4,0)</f>
        <v>-</v>
      </c>
      <c r="J26" s="432"/>
      <c r="K26" s="96">
        <f>VLOOKUP(C26,'Sales Master'!$B$3:$CV$3133,99,0)</f>
        <v>10</v>
      </c>
      <c r="L26" s="23">
        <f t="shared" ref="L26" si="9">K26*G26</f>
        <v>10</v>
      </c>
      <c r="N26" s="247">
        <f>VLOOKUP(C26,'Sales Master'!$B$3:$FA$3051,156,0)</f>
        <v>6</v>
      </c>
      <c r="O26" s="247">
        <f t="shared" ref="O26" si="10">K26-N26</f>
        <v>4</v>
      </c>
      <c r="P26" s="247">
        <f t="shared" ref="P26" si="11">O26*G26</f>
        <v>4</v>
      </c>
      <c r="Q26" s="95"/>
    </row>
    <row r="27" spans="2:17" ht="20.149999999999999" customHeight="1" x14ac:dyDescent="0.45">
      <c r="B27" s="21"/>
      <c r="C27" s="338" t="s">
        <v>958</v>
      </c>
      <c r="D27" s="430" t="str">
        <f>VLOOKUP(C27,'Sales Master'!B$3:D$644,2,0)</f>
        <v>Pearl Barley 薏米</v>
      </c>
      <c r="E27" s="430"/>
      <c r="F27" s="430"/>
      <c r="G27" s="99">
        <v>2</v>
      </c>
      <c r="H27" s="241" t="str">
        <f>VLOOKUP(C27,'Sales Master'!B$3:F$936,5,0)</f>
        <v>5 kgs</v>
      </c>
      <c r="I27" s="432" t="str">
        <f>VLOOKUP(C27,'Sales Master'!B$3:E$936,4,0)</f>
        <v>-</v>
      </c>
      <c r="J27" s="432"/>
      <c r="K27" s="96">
        <f>VLOOKUP(C27,'Sales Master'!$B$3:$CV$3133,99,0)</f>
        <v>10</v>
      </c>
      <c r="L27" s="23">
        <f t="shared" ref="L27:L30" si="12">K27*G27</f>
        <v>20</v>
      </c>
      <c r="N27" s="247">
        <f>VLOOKUP(C27,'Sales Master'!$B$3:$FA$3051,156,0)</f>
        <v>7.6</v>
      </c>
      <c r="O27" s="247">
        <f t="shared" ref="O27:O30" si="13">K27-N27</f>
        <v>2.4000000000000004</v>
      </c>
      <c r="P27" s="247">
        <f t="shared" ref="P27:P30" si="14">O27*G27</f>
        <v>4.8000000000000007</v>
      </c>
      <c r="Q27" s="95"/>
    </row>
    <row r="28" spans="2:17" ht="20.149999999999999" customHeight="1" x14ac:dyDescent="0.45">
      <c r="B28" s="21"/>
      <c r="C28" s="338" t="s">
        <v>965</v>
      </c>
      <c r="D28" s="430" t="str">
        <f>VLOOKUP(C28,'Sales Master'!B$3:D$644,2,0)</f>
        <v>Small Sago 小丸</v>
      </c>
      <c r="E28" s="430"/>
      <c r="F28" s="430"/>
      <c r="G28" s="99">
        <v>1</v>
      </c>
      <c r="H28" s="241" t="str">
        <f>VLOOKUP(C28,'Sales Master'!B$3:F$936,5,0)</f>
        <v>5 kgs</v>
      </c>
      <c r="I28" s="432" t="str">
        <f>VLOOKUP(C28,'Sales Master'!B$3:E$936,4,0)</f>
        <v>SW</v>
      </c>
      <c r="J28" s="432"/>
      <c r="K28" s="96">
        <f>VLOOKUP(C28,'Sales Master'!$B$3:$CV$3133,99,0)</f>
        <v>10.8</v>
      </c>
      <c r="L28" s="23">
        <f>K28*G28</f>
        <v>10.8</v>
      </c>
      <c r="N28" s="247">
        <f>VLOOKUP(C28,'Sales Master'!$B$3:$FA$3051,156,0)</f>
        <v>7.416666666666667</v>
      </c>
      <c r="O28" s="247">
        <f>K28-N28</f>
        <v>3.3833333333333337</v>
      </c>
      <c r="P28" s="247">
        <f>O28*G28</f>
        <v>3.3833333333333337</v>
      </c>
      <c r="Q28" s="95"/>
    </row>
    <row r="29" spans="2:17" ht="20.149999999999999" customHeight="1" x14ac:dyDescent="0.45">
      <c r="B29" s="21"/>
      <c r="C29" s="338" t="s">
        <v>968</v>
      </c>
      <c r="D29" s="430" t="str">
        <f>VLOOKUP(C29,'Sales Master'!B$3:D$644,2,0)</f>
        <v>Dried Longan 龙眼干</v>
      </c>
      <c r="E29" s="430"/>
      <c r="F29" s="430"/>
      <c r="G29" s="99">
        <v>2</v>
      </c>
      <c r="H29" s="241" t="str">
        <f>VLOOKUP(C29,'Sales Master'!B$3:F$936,5,0)</f>
        <v>1 kg</v>
      </c>
      <c r="I29" s="432" t="str">
        <f>VLOOKUP(C29,'Sales Master'!B$3:E$936,4,0)</f>
        <v>AAA</v>
      </c>
      <c r="J29" s="432"/>
      <c r="K29" s="96">
        <f>VLOOKUP(C29,'Sales Master'!$B$3:$CV$3133,99,0)</f>
        <v>13</v>
      </c>
      <c r="L29" s="23">
        <f>K29*G29</f>
        <v>26</v>
      </c>
      <c r="N29" s="247">
        <f>VLOOKUP(C29,'Sales Master'!$B$3:$FA$3051,156,0)</f>
        <v>8.8000000000000007</v>
      </c>
      <c r="O29" s="247">
        <f>K29-N29</f>
        <v>4.1999999999999993</v>
      </c>
      <c r="P29" s="247">
        <f>O29*G29</f>
        <v>8.3999999999999986</v>
      </c>
      <c r="Q29" s="95"/>
    </row>
    <row r="30" spans="2:17" ht="20.149999999999999" customHeight="1" x14ac:dyDescent="0.45">
      <c r="B30" s="21"/>
      <c r="C30" s="338" t="s">
        <v>972</v>
      </c>
      <c r="D30" s="430" t="str">
        <f>VLOOKUP(C30,'Sales Master'!B$3:D$644,2,0)</f>
        <v>Fungus 黄 木耳朵</v>
      </c>
      <c r="E30" s="430"/>
      <c r="F30" s="430"/>
      <c r="G30" s="99">
        <v>1</v>
      </c>
      <c r="H30" s="241" t="str">
        <f>VLOOKUP(C30,'Sales Master'!B$3:F$936,5,0)</f>
        <v>1 kg</v>
      </c>
      <c r="I30" s="432" t="str">
        <f>VLOOKUP(C30,'Sales Master'!B$3:E$936,4,0)</f>
        <v>黄</v>
      </c>
      <c r="J30" s="432"/>
      <c r="K30" s="96">
        <f>VLOOKUP(C30,'Sales Master'!$B$3:$CV$3133,99,0)</f>
        <v>16.5</v>
      </c>
      <c r="L30" s="23">
        <f t="shared" si="12"/>
        <v>16.5</v>
      </c>
      <c r="N30" s="247">
        <f>VLOOKUP(C30,'Sales Master'!$B$3:$FA$3051,156,0)</f>
        <v>11</v>
      </c>
      <c r="O30" s="247">
        <f t="shared" si="13"/>
        <v>5.5</v>
      </c>
      <c r="P30" s="247">
        <f t="shared" si="14"/>
        <v>5.5</v>
      </c>
      <c r="Q30" s="95"/>
    </row>
    <row r="31" spans="2:17" ht="20.149999999999999" customHeight="1" x14ac:dyDescent="0.45">
      <c r="B31" s="21"/>
      <c r="C31" s="338" t="s">
        <v>1027</v>
      </c>
      <c r="D31" s="430" t="str">
        <f>VLOOKUP(C31,'Sales Master'!B$3:D$644,2,0)</f>
        <v>Longan in Syrup 龙眼</v>
      </c>
      <c r="E31" s="430"/>
      <c r="F31" s="430"/>
      <c r="G31" s="99">
        <v>1</v>
      </c>
      <c r="H31" s="241" t="str">
        <f>VLOOKUP(C31,'Sales Master'!B$3:F$936,5,0)</f>
        <v>(565gm x 12)/箱</v>
      </c>
      <c r="I31" s="432" t="str">
        <f>VLOOKUP(C31,'Sales Master'!B$3:E$936,4,0)</f>
        <v>YiFong</v>
      </c>
      <c r="J31" s="432"/>
      <c r="K31" s="96">
        <f>VLOOKUP(C31,'Sales Master'!$B$3:$CV$3133,99,0)</f>
        <v>25</v>
      </c>
      <c r="L31" s="23">
        <f t="shared" ref="L31:L37" si="15">K31*G31</f>
        <v>25</v>
      </c>
      <c r="N31" s="247">
        <f>VLOOKUP(C31,'Sales Master'!$B$3:$FA$3051,156,0)</f>
        <v>19.534883720930232</v>
      </c>
      <c r="O31" s="247">
        <f t="shared" ref="O31:O37" si="16">K31-N31</f>
        <v>5.4651162790697683</v>
      </c>
      <c r="P31" s="247">
        <f t="shared" ref="P31:P37" si="17">O31*G31</f>
        <v>5.4651162790697683</v>
      </c>
      <c r="Q31" s="95"/>
    </row>
    <row r="32" spans="2:17" ht="20.149999999999999" customHeight="1" x14ac:dyDescent="0.45">
      <c r="B32" s="21"/>
      <c r="C32" s="338" t="s">
        <v>1059</v>
      </c>
      <c r="D32" s="430" t="str">
        <f>VLOOKUP(C32,'Sales Master'!B$3:D$644,2,0)</f>
        <v>Coconut Milk 椰浆</v>
      </c>
      <c r="E32" s="430"/>
      <c r="F32" s="430"/>
      <c r="G32" s="99">
        <v>2</v>
      </c>
      <c r="H32" s="241" t="str">
        <f>VLOOKUP(C32,'Sales Master'!B$3:F$936,5,0)</f>
        <v>(1L x 12bag)/箱</v>
      </c>
      <c r="I32" s="432" t="str">
        <f>VLOOKUP(C32,'Sales Master'!B$3:E$936,4,0)</f>
        <v>Kara UHT</v>
      </c>
      <c r="J32" s="432"/>
      <c r="K32" s="96">
        <f>VLOOKUP(C32,'Sales Master'!$B$3:$CV$3133,99,0)</f>
        <v>42</v>
      </c>
      <c r="L32" s="23">
        <f t="shared" si="15"/>
        <v>84</v>
      </c>
      <c r="N32" s="247">
        <f>VLOOKUP(C32,'Sales Master'!$B$3:$FA$3051,156,0)</f>
        <v>35.799999999999997</v>
      </c>
      <c r="O32" s="247">
        <f t="shared" si="16"/>
        <v>6.2000000000000028</v>
      </c>
      <c r="P32" s="247">
        <f t="shared" si="17"/>
        <v>12.400000000000006</v>
      </c>
      <c r="Q32" s="95"/>
    </row>
    <row r="33" spans="2:17" ht="20.149999999999999" customHeight="1" x14ac:dyDescent="0.45">
      <c r="B33" s="21"/>
      <c r="C33" s="338" t="s">
        <v>1077</v>
      </c>
      <c r="D33" s="430" t="str">
        <f>VLOOKUP(C33,'Sales Master'!B$3:D$644,2,0)</f>
        <v>Brown Sugar 黑糖</v>
      </c>
      <c r="E33" s="430"/>
      <c r="F33" s="430"/>
      <c r="G33" s="99">
        <v>1</v>
      </c>
      <c r="H33" s="241" t="str">
        <f>VLOOKUP(C33,'Sales Master'!B$3:F$936,5,0)</f>
        <v>6 kgs</v>
      </c>
      <c r="I33" s="432" t="str">
        <f>VLOOKUP(C33,'Sales Master'!B$3:E$936,4,0)</f>
        <v>Star</v>
      </c>
      <c r="J33" s="432"/>
      <c r="K33" s="96">
        <f>VLOOKUP(C33,'Sales Master'!$B$3:$CV$3133,99,0)</f>
        <v>17.5</v>
      </c>
      <c r="L33" s="23">
        <f t="shared" si="15"/>
        <v>17.5</v>
      </c>
      <c r="N33" s="247">
        <f>VLOOKUP(C33,'Sales Master'!$B$3:$FA$3051,156,0)</f>
        <v>12</v>
      </c>
      <c r="O33" s="247">
        <f t="shared" si="16"/>
        <v>5.5</v>
      </c>
      <c r="P33" s="247">
        <f t="shared" si="17"/>
        <v>5.5</v>
      </c>
      <c r="Q33" s="95"/>
    </row>
    <row r="34" spans="2:17" ht="20.149999999999999" customHeight="1" x14ac:dyDescent="0.45">
      <c r="B34" s="21"/>
      <c r="C34" s="338" t="s">
        <v>1086</v>
      </c>
      <c r="D34" s="430" t="str">
        <f>VLOOKUP(C34,'Sales Master'!B$3:D$644,2,0)</f>
        <v>Coconut Sugar 椰糖</v>
      </c>
      <c r="E34" s="430"/>
      <c r="F34" s="430"/>
      <c r="G34" s="99">
        <v>1</v>
      </c>
      <c r="H34" s="241" t="str">
        <f>VLOOKUP(C34,'Sales Master'!B$3:F$936,5,0)</f>
        <v>10kgs/ctn</v>
      </c>
      <c r="I34" s="432" t="str">
        <f>VLOOKUP(C34,'Sales Master'!B$3:E$936,4,0)</f>
        <v>BL BRAND</v>
      </c>
      <c r="J34" s="432"/>
      <c r="K34" s="96">
        <f>VLOOKUP(C34,'Sales Master'!$B$3:$CV$3133,99,0)</f>
        <v>33</v>
      </c>
      <c r="L34" s="23">
        <f t="shared" si="15"/>
        <v>33</v>
      </c>
      <c r="N34" s="247">
        <f>VLOOKUP(C34,'Sales Master'!$B$3:$FA$3051,156,0)</f>
        <v>28</v>
      </c>
      <c r="O34" s="247">
        <f t="shared" si="16"/>
        <v>5</v>
      </c>
      <c r="P34" s="247">
        <f t="shared" si="17"/>
        <v>5</v>
      </c>
      <c r="Q34" s="95"/>
    </row>
    <row r="35" spans="2:17" ht="20.149999999999999" customHeight="1" x14ac:dyDescent="0.45">
      <c r="B35" s="21"/>
      <c r="C35" s="338" t="s">
        <v>1093</v>
      </c>
      <c r="D35" s="430" t="str">
        <f>VLOOKUP(C35,'Sales Master'!B$3:D$644,2,0)</f>
        <v>Sweet Potato 番薯</v>
      </c>
      <c r="E35" s="430"/>
      <c r="F35" s="430"/>
      <c r="G35" s="99">
        <v>10</v>
      </c>
      <c r="H35" s="241" t="str">
        <f>VLOOKUP(C35,'Sales Master'!B$3:F$936,5,0)</f>
        <v>1 KG</v>
      </c>
      <c r="I35" s="432" t="str">
        <f>VLOOKUP(C35,'Sales Master'!B$3:E$936,4,0)</f>
        <v>Malaysia</v>
      </c>
      <c r="J35" s="432"/>
      <c r="K35" s="96">
        <f>VLOOKUP(C35,'Sales Master'!$B$3:$CV$3133,99,0)</f>
        <v>2.5</v>
      </c>
      <c r="L35" s="23">
        <f t="shared" si="15"/>
        <v>25</v>
      </c>
      <c r="N35" s="247">
        <f>VLOOKUP(C35,'Sales Master'!$B$3:$FA$3051,156,0)</f>
        <v>1.75</v>
      </c>
      <c r="O35" s="247">
        <f t="shared" si="16"/>
        <v>0.75</v>
      </c>
      <c r="P35" s="247">
        <f t="shared" si="17"/>
        <v>7.5</v>
      </c>
      <c r="Q35" s="95"/>
    </row>
    <row r="36" spans="2:17" ht="20.149999999999999" customHeight="1" x14ac:dyDescent="0.45">
      <c r="B36" s="21"/>
      <c r="C36" s="338" t="s">
        <v>1098</v>
      </c>
      <c r="D36" s="430" t="str">
        <f>VLOOKUP(C36,'Sales Master'!B$3:D$644,2,0)</f>
        <v>Pandan Leaf 班兰叶</v>
      </c>
      <c r="E36" s="430"/>
      <c r="F36" s="430"/>
      <c r="G36" s="99">
        <v>6</v>
      </c>
      <c r="H36" s="241" t="str">
        <f>VLOOKUP(C36,'Sales Master'!B$3:F$936,5,0)</f>
        <v>1 kg</v>
      </c>
      <c r="I36" s="432" t="str">
        <f>VLOOKUP(C36,'Sales Master'!B$3:E$936,4,0)</f>
        <v>-</v>
      </c>
      <c r="J36" s="432"/>
      <c r="K36" s="96">
        <f>VLOOKUP(C36,'Sales Master'!$B$3:$CV$3133,99,0)</f>
        <v>2</v>
      </c>
      <c r="L36" s="23">
        <f t="shared" si="15"/>
        <v>12</v>
      </c>
      <c r="N36" s="247">
        <f>VLOOKUP(C36,'Sales Master'!$B$3:$FA$3051,156,0)</f>
        <v>1.1000000000000001</v>
      </c>
      <c r="O36" s="247">
        <f t="shared" si="16"/>
        <v>0.89999999999999991</v>
      </c>
      <c r="P36" s="247">
        <f t="shared" si="17"/>
        <v>5.3999999999999995</v>
      </c>
      <c r="Q36" s="95"/>
    </row>
    <row r="37" spans="2:17" ht="20.149999999999999" customHeight="1" x14ac:dyDescent="0.45">
      <c r="B37" s="21"/>
      <c r="C37" s="338" t="s">
        <v>1099</v>
      </c>
      <c r="D37" s="430" t="str">
        <f>VLOOKUP(C37,'Sales Master'!B$3:D$644,2,0)</f>
        <v>Lime 酸甘</v>
      </c>
      <c r="E37" s="430"/>
      <c r="F37" s="430"/>
      <c r="G37" s="99">
        <v>2</v>
      </c>
      <c r="H37" s="241" t="str">
        <f>VLOOKUP(C37,'Sales Master'!B$3:F$936,5,0)</f>
        <v>1 kg</v>
      </c>
      <c r="I37" s="432" t="str">
        <f>VLOOKUP(C37,'Sales Master'!B$3:E$936,4,0)</f>
        <v>-</v>
      </c>
      <c r="J37" s="432"/>
      <c r="K37" s="96">
        <f>VLOOKUP(C37,'Sales Master'!$B$3:$CV$3133,99,0)</f>
        <v>2.8</v>
      </c>
      <c r="L37" s="23">
        <f t="shared" si="15"/>
        <v>5.6</v>
      </c>
      <c r="N37" s="247">
        <f>VLOOKUP(C37,'Sales Master'!$B$3:$FA$3051,156,0)</f>
        <v>2.2999999999999998</v>
      </c>
      <c r="O37" s="247">
        <f t="shared" si="16"/>
        <v>0.5</v>
      </c>
      <c r="P37" s="247">
        <f t="shared" si="17"/>
        <v>1</v>
      </c>
      <c r="Q37" s="95"/>
    </row>
    <row r="38" spans="2:17" ht="20.149999999999999" customHeight="1" x14ac:dyDescent="0.45">
      <c r="B38" s="21"/>
      <c r="C38" s="338"/>
      <c r="D38" s="430"/>
      <c r="E38" s="430"/>
      <c r="F38" s="430"/>
      <c r="G38" s="99"/>
      <c r="H38" s="241"/>
      <c r="I38" s="432"/>
      <c r="J38" s="432"/>
      <c r="K38" s="96"/>
      <c r="L38" s="23"/>
      <c r="N38" s="247"/>
      <c r="O38" s="247"/>
      <c r="P38" s="247"/>
      <c r="Q38" s="95"/>
    </row>
    <row r="39" spans="2:17" ht="20.149999999999999" customHeight="1" x14ac:dyDescent="0.45">
      <c r="B39" s="21"/>
      <c r="C39" s="338" t="s">
        <v>975</v>
      </c>
      <c r="D39" s="430" t="str">
        <f>VLOOKUP(C39,'Sales Master'!B$3:D$644,2,0)</f>
        <v>Red Date 红枣</v>
      </c>
      <c r="E39" s="430"/>
      <c r="F39" s="430"/>
      <c r="G39" s="99">
        <v>-1</v>
      </c>
      <c r="H39" s="241" t="str">
        <f>VLOOKUP(C39,'Sales Master'!B$3:F$936,5,0)</f>
        <v>1 kg</v>
      </c>
      <c r="I39" s="432" t="str">
        <f>VLOOKUP(C39,'Sales Master'!B$3:E$936,4,0)</f>
        <v>-</v>
      </c>
      <c r="J39" s="432"/>
      <c r="K39" s="96">
        <f>VLOOKUP(C39,'Sales Master'!$B$3:$CV$3133,99,0)</f>
        <v>5</v>
      </c>
      <c r="L39" s="23">
        <f>K39*G39</f>
        <v>-5</v>
      </c>
      <c r="N39" s="247">
        <f>VLOOKUP(C39,'Sales Master'!$B$3:$FA$3051,156,0)</f>
        <v>4.3</v>
      </c>
      <c r="O39" s="247">
        <f>K39-N39</f>
        <v>0.70000000000000018</v>
      </c>
      <c r="P39" s="247">
        <f>O39*G39</f>
        <v>-0.70000000000000018</v>
      </c>
      <c r="Q39" s="95"/>
    </row>
    <row r="40" spans="2:17" ht="20.149999999999999" customHeight="1" x14ac:dyDescent="0.45">
      <c r="B40" s="21"/>
      <c r="C40" s="338"/>
      <c r="D40" s="69"/>
      <c r="E40" s="69"/>
      <c r="F40" s="69"/>
      <c r="G40" s="99"/>
      <c r="H40" s="241"/>
      <c r="I40" s="322"/>
      <c r="J40" s="322"/>
      <c r="K40" s="96"/>
      <c r="L40" s="23"/>
      <c r="N40" s="247"/>
      <c r="O40" s="247"/>
      <c r="P40" s="247"/>
      <c r="Q40" s="95"/>
    </row>
    <row r="41" spans="2:17" ht="20.149999999999999" customHeight="1" x14ac:dyDescent="0.45">
      <c r="B41" s="21"/>
      <c r="C41" s="305" t="s">
        <v>1740</v>
      </c>
      <c r="E41" s="69"/>
      <c r="F41" s="69"/>
      <c r="G41" s="99"/>
      <c r="H41" s="65"/>
      <c r="I41" s="65"/>
      <c r="J41" s="65"/>
      <c r="K41" s="22"/>
      <c r="L41" s="23"/>
      <c r="N41" s="247"/>
      <c r="O41" s="247"/>
      <c r="P41" s="247"/>
      <c r="Q41" s="95"/>
    </row>
    <row r="42" spans="2:17" ht="20.149999999999999" customHeight="1" x14ac:dyDescent="0.45">
      <c r="B42" s="21"/>
      <c r="C42" s="338" t="s">
        <v>1035</v>
      </c>
      <c r="D42" s="430" t="str">
        <f>VLOOKUP(C42,'Sales Master'!B$3:D$644,2,0)</f>
        <v>Fruit Cocktail 杂果</v>
      </c>
      <c r="E42" s="430"/>
      <c r="F42" s="430"/>
      <c r="G42" s="99">
        <v>1</v>
      </c>
      <c r="H42" s="206" t="str">
        <f>VLOOKUP(C42,'Sales Master'!B$3:F$936,5,0)</f>
        <v>(820gm x 12)/箱</v>
      </c>
      <c r="I42" s="432" t="str">
        <f>VLOOKUP(C42,'Sales Master'!B$3:E$936,4,0)</f>
        <v>Statue</v>
      </c>
      <c r="J42" s="432"/>
      <c r="K42" s="22">
        <v>36</v>
      </c>
      <c r="L42" s="23"/>
      <c r="N42" s="247"/>
      <c r="O42" s="247"/>
      <c r="P42" s="247"/>
      <c r="Q42" s="95"/>
    </row>
    <row r="43" spans="2:17" ht="20.149999999999999" customHeight="1" x14ac:dyDescent="0.45">
      <c r="B43" s="21"/>
      <c r="C43" s="338"/>
      <c r="D43" s="430"/>
      <c r="E43" s="430"/>
      <c r="F43" s="430"/>
      <c r="G43" s="99"/>
      <c r="H43" s="206"/>
      <c r="I43" s="432"/>
      <c r="J43" s="432"/>
      <c r="K43" s="22"/>
      <c r="L43" s="23"/>
      <c r="N43" s="247"/>
      <c r="O43" s="247"/>
      <c r="P43" s="247"/>
      <c r="Q43" s="95"/>
    </row>
    <row r="44" spans="2:17" x14ac:dyDescent="0.45">
      <c r="B44" s="90"/>
      <c r="C44" s="408"/>
      <c r="D44" s="485"/>
      <c r="E44" s="485"/>
      <c r="F44" s="485"/>
      <c r="G44" s="133"/>
      <c r="H44" s="409"/>
      <c r="I44" s="486"/>
      <c r="J44" s="486"/>
      <c r="K44" s="128"/>
      <c r="L44" s="93"/>
    </row>
    <row r="45" spans="2:17" ht="20.149999999999999" customHeight="1" thickBot="1" x14ac:dyDescent="0.5">
      <c r="B45" s="28"/>
      <c r="L45" s="29"/>
    </row>
    <row r="46" spans="2:17" ht="20.149999999999999" customHeight="1" x14ac:dyDescent="0.45">
      <c r="B46" s="11" t="s">
        <v>17</v>
      </c>
      <c r="C46" s="10"/>
      <c r="D46" s="10"/>
      <c r="E46" s="10"/>
      <c r="F46" s="10"/>
      <c r="G46" s="10"/>
      <c r="H46" s="10"/>
      <c r="I46" s="10"/>
      <c r="J46" s="474" t="s">
        <v>13</v>
      </c>
      <c r="K46" s="475"/>
      <c r="L46" s="30">
        <f>SUM(L18:L45)</f>
        <v>469.1</v>
      </c>
      <c r="M46" s="95">
        <f>SUM(P18:P44)</f>
        <v>119.74879246954599</v>
      </c>
      <c r="N46" s="405">
        <f>M46-L47</f>
        <v>85.000644321397843</v>
      </c>
    </row>
    <row r="47" spans="2:17" ht="20.149999999999999" customHeight="1" x14ac:dyDescent="0.45">
      <c r="B47" s="11" t="s">
        <v>18</v>
      </c>
      <c r="C47" s="10"/>
      <c r="D47" s="10"/>
      <c r="E47" s="10"/>
      <c r="F47" s="10"/>
      <c r="G47" s="10"/>
      <c r="H47" s="10"/>
      <c r="I47" s="10"/>
      <c r="J47" s="110" t="s">
        <v>553</v>
      </c>
      <c r="K47" s="113">
        <v>6.54E-2</v>
      </c>
      <c r="L47" s="32">
        <f>L49</f>
        <v>34.748148148148147</v>
      </c>
    </row>
    <row r="48" spans="2:17" ht="20.149999999999999" customHeight="1" x14ac:dyDescent="0.45">
      <c r="B48" s="11" t="s">
        <v>22</v>
      </c>
      <c r="C48" s="10"/>
      <c r="D48" s="10"/>
      <c r="E48" s="10"/>
      <c r="F48" s="10"/>
      <c r="G48" s="10"/>
      <c r="H48" s="10"/>
      <c r="I48" s="10"/>
      <c r="J48" s="476" t="s">
        <v>555</v>
      </c>
      <c r="K48" s="477"/>
      <c r="L48" s="114">
        <f>L46/108*100</f>
        <v>434.35185185185185</v>
      </c>
    </row>
    <row r="49" spans="2:12" ht="20.149999999999999" customHeight="1" x14ac:dyDescent="0.45">
      <c r="B49" s="11" t="s">
        <v>748</v>
      </c>
      <c r="C49" s="10"/>
      <c r="D49" s="10"/>
      <c r="E49" s="10"/>
      <c r="F49" s="10"/>
      <c r="G49" s="10"/>
      <c r="H49" s="10"/>
      <c r="I49" s="10"/>
      <c r="J49" s="111" t="s">
        <v>554</v>
      </c>
      <c r="K49" s="112">
        <v>0.08</v>
      </c>
      <c r="L49" s="44">
        <f>L48*K49</f>
        <v>34.748148148148147</v>
      </c>
    </row>
    <row r="50" spans="2:12" ht="20.149999999999999" customHeight="1" thickBot="1" x14ac:dyDescent="0.5">
      <c r="B50" s="11" t="s">
        <v>23</v>
      </c>
      <c r="C50" s="10"/>
      <c r="D50" s="10"/>
      <c r="E50" s="10"/>
      <c r="F50" s="10"/>
      <c r="G50" s="10"/>
      <c r="H50" s="10"/>
      <c r="I50" s="10"/>
      <c r="J50" s="478" t="s">
        <v>21</v>
      </c>
      <c r="K50" s="479"/>
      <c r="L50" s="33">
        <f>L48+L49</f>
        <v>469.1</v>
      </c>
    </row>
    <row r="51" spans="2:12" ht="20.149999999999999" customHeight="1" x14ac:dyDescent="0.45">
      <c r="B51" s="183" t="s">
        <v>749</v>
      </c>
      <c r="C51" s="10"/>
      <c r="D51" s="10"/>
      <c r="E51" s="10"/>
      <c r="F51" s="10"/>
      <c r="G51" s="10"/>
      <c r="H51" s="10"/>
      <c r="I51" s="10"/>
      <c r="L51" s="29"/>
    </row>
    <row r="52" spans="2:12" ht="20.149999999999999" customHeight="1" x14ac:dyDescent="0.45">
      <c r="B52" s="183"/>
      <c r="L52" s="29"/>
    </row>
    <row r="53" spans="2:12" ht="20.149999999999999" customHeight="1" x14ac:dyDescent="0.45">
      <c r="B53" s="28"/>
      <c r="L53" s="29"/>
    </row>
    <row r="54" spans="2:12" ht="20.149999999999999" customHeight="1" x14ac:dyDescent="0.45">
      <c r="B54" s="28"/>
      <c r="L54" s="29"/>
    </row>
    <row r="55" spans="2:12" ht="20.149999999999999" customHeight="1" x14ac:dyDescent="0.45">
      <c r="B55" s="34"/>
      <c r="C55" s="35"/>
      <c r="D55" s="35"/>
      <c r="J55" s="35"/>
      <c r="K55" s="35"/>
      <c r="L55" s="36"/>
    </row>
    <row r="56" spans="2:12" ht="20.149999999999999" customHeight="1" x14ac:dyDescent="0.45">
      <c r="B56" s="28" t="s">
        <v>24</v>
      </c>
      <c r="J56" s="60" t="s">
        <v>25</v>
      </c>
      <c r="L56" s="29"/>
    </row>
    <row r="57" spans="2:12" ht="8.5" customHeight="1" thickBot="1" x14ac:dyDescent="0.5">
      <c r="B57" s="37"/>
      <c r="C57" s="62"/>
      <c r="D57" s="62"/>
      <c r="E57" s="62"/>
      <c r="F57" s="62"/>
      <c r="G57" s="62"/>
      <c r="H57" s="62"/>
      <c r="I57" s="62"/>
      <c r="J57" s="62"/>
      <c r="K57" s="62"/>
      <c r="L57" s="38"/>
    </row>
    <row r="58" spans="2:12" ht="20.5" x14ac:dyDescent="0.45">
      <c r="F58" s="317"/>
    </row>
    <row r="136" spans="3:100" x14ac:dyDescent="0.45">
      <c r="C136" s="189" t="s">
        <v>1500</v>
      </c>
      <c r="D136" s="2" t="s">
        <v>770</v>
      </c>
      <c r="E136" s="2" t="s">
        <v>799</v>
      </c>
      <c r="F136" s="2" t="s">
        <v>1000</v>
      </c>
      <c r="G136" s="2" t="s">
        <v>570</v>
      </c>
      <c r="H136" s="57">
        <v>0.57999999999999996</v>
      </c>
      <c r="CV136" s="60">
        <v>0.9</v>
      </c>
    </row>
  </sheetData>
  <mergeCells count="67">
    <mergeCell ref="D28:F28"/>
    <mergeCell ref="D31:F31"/>
    <mergeCell ref="D36:F36"/>
    <mergeCell ref="D20:F20"/>
    <mergeCell ref="D29:F29"/>
    <mergeCell ref="D24:F24"/>
    <mergeCell ref="D26:F26"/>
    <mergeCell ref="D32:F32"/>
    <mergeCell ref="D37:F37"/>
    <mergeCell ref="D43:F43"/>
    <mergeCell ref="I43:J43"/>
    <mergeCell ref="D44:F44"/>
    <mergeCell ref="I44:J44"/>
    <mergeCell ref="D42:F42"/>
    <mergeCell ref="I42:J42"/>
    <mergeCell ref="D39:F39"/>
    <mergeCell ref="D38:F38"/>
    <mergeCell ref="J50:K50"/>
    <mergeCell ref="J46:K46"/>
    <mergeCell ref="J48:K48"/>
    <mergeCell ref="I31:J31"/>
    <mergeCell ref="I38:J38"/>
    <mergeCell ref="I39:J39"/>
    <mergeCell ref="I37:J37"/>
    <mergeCell ref="I17:J17"/>
    <mergeCell ref="D17:F17"/>
    <mergeCell ref="I18:J18"/>
    <mergeCell ref="D18:F18"/>
    <mergeCell ref="D35:F35"/>
    <mergeCell ref="D19:F19"/>
    <mergeCell ref="D23:F23"/>
    <mergeCell ref="D34:F34"/>
    <mergeCell ref="D21:F21"/>
    <mergeCell ref="D27:F27"/>
    <mergeCell ref="D25:F25"/>
    <mergeCell ref="I23:J23"/>
    <mergeCell ref="I34:J34"/>
    <mergeCell ref="D30:F30"/>
    <mergeCell ref="D22:F22"/>
    <mergeCell ref="D33:F33"/>
    <mergeCell ref="B1:L8"/>
    <mergeCell ref="K13:L13"/>
    <mergeCell ref="B14:D14"/>
    <mergeCell ref="K14:L14"/>
    <mergeCell ref="F11:H15"/>
    <mergeCell ref="K11:L11"/>
    <mergeCell ref="K15:L15"/>
    <mergeCell ref="K10:L10"/>
    <mergeCell ref="B11:D11"/>
    <mergeCell ref="B12:D12"/>
    <mergeCell ref="K12:L12"/>
    <mergeCell ref="B13:D13"/>
    <mergeCell ref="I28:J28"/>
    <mergeCell ref="I36:J36"/>
    <mergeCell ref="I20:J20"/>
    <mergeCell ref="I29:J29"/>
    <mergeCell ref="I35:J35"/>
    <mergeCell ref="I30:J30"/>
    <mergeCell ref="I32:J32"/>
    <mergeCell ref="I33:J33"/>
    <mergeCell ref="I19:J19"/>
    <mergeCell ref="I21:J21"/>
    <mergeCell ref="I27:J27"/>
    <mergeCell ref="I25:J25"/>
    <mergeCell ref="I24:J24"/>
    <mergeCell ref="I26:J26"/>
    <mergeCell ref="I22:J22"/>
  </mergeCells>
  <conditionalFormatting sqref="C41">
    <cfRule type="duplicateValues" dxfId="146" priority="1"/>
  </conditionalFormatting>
  <conditionalFormatting sqref="C42:C43">
    <cfRule type="duplicateValues" dxfId="145" priority="2"/>
  </conditionalFormatting>
  <pageMargins left="0.70866141732283505" right="0" top="0" bottom="0.25" header="0.31496062992126" footer="0.31496062992126"/>
  <pageSetup paperSize="9" scale="72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1B521-4B3C-4ACF-B6C4-6285A11AA96F}">
  <sheetPr codeName="Sheet140">
    <tabColor rgb="FF7030A0"/>
    <pageSetUpPr fitToPage="1"/>
  </sheetPr>
  <dimension ref="B1:P46"/>
  <sheetViews>
    <sheetView topLeftCell="A20" zoomScaleNormal="100" workbookViewId="0">
      <selection activeCell="B1" sqref="B1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421</v>
      </c>
      <c r="J10" s="17" t="s">
        <v>26</v>
      </c>
      <c r="K10" s="455">
        <v>202311108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樟宜村甜品屋                                       Changi Village Hawker Centre,                    2 Changi Village Road   #01-08 Singapore 500002</v>
      </c>
      <c r="G11" s="445"/>
      <c r="H11" s="446"/>
      <c r="J11" s="18" t="s">
        <v>9</v>
      </c>
      <c r="K11" s="460">
        <v>45234</v>
      </c>
      <c r="L11" s="461"/>
      <c r="N11" s="60" t="s">
        <v>556</v>
      </c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1327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  <c r="N15" s="172" t="s">
        <v>618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70"/>
      <c r="C18" s="338" t="s">
        <v>816</v>
      </c>
      <c r="D18" s="430" t="str">
        <f>VLOOKUP(C18,'Sales Master'!B$3:D$644,2,0)</f>
        <v xml:space="preserve">Fresh Soursop 红毛榴莲 </v>
      </c>
      <c r="E18" s="430"/>
      <c r="F18" s="430"/>
      <c r="G18" s="45">
        <v>1</v>
      </c>
      <c r="H18" s="241" t="str">
        <f>VLOOKUP(C18,'Sales Master'!B$3:F$936,5,0)</f>
        <v>5 KGS/ Pkt包</v>
      </c>
      <c r="I18" s="432" t="str">
        <f>VLOOKUP(C18,'Sales Master'!B$3:E$936,4,0)</f>
        <v>DO!</v>
      </c>
      <c r="J18" s="432"/>
      <c r="K18" s="22">
        <f>VLOOKUP(C18,'Sales Master'!B$3:AF$536,31,0)</f>
        <v>32</v>
      </c>
      <c r="L18" s="23">
        <f t="shared" ref="L18:L19" si="0">K18*G18</f>
        <v>32</v>
      </c>
      <c r="N18" s="247">
        <f>VLOOKUP(C18,'Sales Master'!$B$3:$FA$3051,156,0)</f>
        <v>23.67</v>
      </c>
      <c r="O18" s="247">
        <f t="shared" ref="O18:O19" si="1">K18-N18</f>
        <v>8.3299999999999983</v>
      </c>
      <c r="P18" s="247">
        <f t="shared" ref="P18:P19" si="2">O18*G18</f>
        <v>8.3299999999999983</v>
      </c>
    </row>
    <row r="19" spans="2:16" ht="20.149999999999999" customHeight="1" x14ac:dyDescent="0.45">
      <c r="B19" s="70"/>
      <c r="C19" s="338" t="s">
        <v>820</v>
      </c>
      <c r="D19" s="430" t="str">
        <f>VLOOKUP(C19,'Sales Master'!B$3:D$644,2,0)</f>
        <v>Durian Puree 榴莲浆</v>
      </c>
      <c r="E19" s="430"/>
      <c r="F19" s="430"/>
      <c r="G19" s="45">
        <v>5</v>
      </c>
      <c r="H19" s="241" t="str">
        <f>VLOOKUP(C19,'Sales Master'!B$3:F$936,5,0)</f>
        <v>Box/盒</v>
      </c>
      <c r="I19" s="432" t="str">
        <f>VLOOKUP(C19,'Sales Master'!B$3:E$936,4,0)</f>
        <v>DO!</v>
      </c>
      <c r="J19" s="432"/>
      <c r="K19" s="22">
        <f>VLOOKUP(C19,'Sales Master'!B$3:AF$536,31,0)</f>
        <v>8</v>
      </c>
      <c r="L19" s="23">
        <f t="shared" si="0"/>
        <v>40</v>
      </c>
      <c r="N19" s="247">
        <f>VLOOKUP(C19,'Sales Master'!$B$3:$FA$3051,156,0)</f>
        <v>4.71</v>
      </c>
      <c r="O19" s="247">
        <f t="shared" si="1"/>
        <v>3.29</v>
      </c>
      <c r="P19" s="247">
        <f t="shared" si="2"/>
        <v>16.45</v>
      </c>
    </row>
    <row r="20" spans="2:16" ht="20.149999999999999" customHeight="1" x14ac:dyDescent="0.45">
      <c r="B20" s="70"/>
      <c r="C20" s="338" t="s">
        <v>833</v>
      </c>
      <c r="D20" s="430" t="str">
        <f>VLOOKUP(C20,'Sales Master'!B$3:D$644,2,0)</f>
        <v>Coconut Sugar Syrup 椰糖浆</v>
      </c>
      <c r="E20" s="430"/>
      <c r="F20" s="430"/>
      <c r="G20" s="45">
        <v>5</v>
      </c>
      <c r="H20" s="241" t="str">
        <f>VLOOKUP(C20,'Sales Master'!B$3:F$936,5,0)</f>
        <v>4L/ Btl支</v>
      </c>
      <c r="I20" s="432" t="str">
        <f>VLOOKUP(C20,'Sales Master'!B$3:E$936,4,0)</f>
        <v>DO!</v>
      </c>
      <c r="J20" s="432"/>
      <c r="K20" s="22">
        <f>VLOOKUP(C20,'Sales Master'!B$3:AF$536,31,0)</f>
        <v>15</v>
      </c>
      <c r="L20" s="23">
        <f t="shared" ref="L20:L23" si="3">K20*G20</f>
        <v>75</v>
      </c>
      <c r="N20" s="247">
        <f>VLOOKUP(C20,'Sales Master'!$B$3:$FA$3051,156,0)</f>
        <v>8.89</v>
      </c>
      <c r="O20" s="247">
        <f t="shared" ref="O20:O23" si="4">K20-N20</f>
        <v>6.1099999999999994</v>
      </c>
      <c r="P20" s="247">
        <f t="shared" ref="P20:P23" si="5">O20*G20</f>
        <v>30.549999999999997</v>
      </c>
    </row>
    <row r="21" spans="2:16" ht="20.149999999999999" customHeight="1" x14ac:dyDescent="0.45">
      <c r="B21" s="70"/>
      <c r="C21" s="338" t="s">
        <v>849</v>
      </c>
      <c r="D21" s="430" t="str">
        <f>VLOOKUP(C21,'Sales Master'!B$3:D$644,2,0)</f>
        <v>Tadpole 蝌蚪</v>
      </c>
      <c r="E21" s="430"/>
      <c r="F21" s="430"/>
      <c r="G21" s="45">
        <v>1</v>
      </c>
      <c r="H21" s="241" t="str">
        <f>VLOOKUP(C21,'Sales Master'!B$3:F$936,5,0)</f>
        <v>1 kg/Bag</v>
      </c>
      <c r="I21" s="432" t="str">
        <f>VLOOKUP(C21,'Sales Master'!B$3:E$936,4,0)</f>
        <v>FJ</v>
      </c>
      <c r="J21" s="432"/>
      <c r="K21" s="22">
        <f>VLOOKUP(C21,'Sales Master'!B$3:AF$536,31,0)</f>
        <v>6.5</v>
      </c>
      <c r="L21" s="23">
        <f>K21*G21</f>
        <v>6.5</v>
      </c>
      <c r="N21" s="247">
        <f>VLOOKUP(C21,'Sales Master'!$B$3:$FA$3051,156,0)</f>
        <v>5.5</v>
      </c>
      <c r="O21" s="247">
        <f>K21-N21</f>
        <v>1</v>
      </c>
      <c r="P21" s="247">
        <f>O21*G21</f>
        <v>1</v>
      </c>
    </row>
    <row r="22" spans="2:16" ht="20.149999999999999" customHeight="1" x14ac:dyDescent="0.45">
      <c r="B22" s="70"/>
      <c r="C22" s="338" t="s">
        <v>968</v>
      </c>
      <c r="D22" s="535" t="str">
        <f>VLOOKUP(C22,'Sales Master'!B$3:D$644,2,0)</f>
        <v>Dried Longan 龙眼干</v>
      </c>
      <c r="E22" s="535"/>
      <c r="F22" s="535"/>
      <c r="G22" s="45">
        <v>1</v>
      </c>
      <c r="H22" s="241" t="str">
        <f>VLOOKUP(C22,'Sales Master'!B$3:F$936,5,0)</f>
        <v>1 kg</v>
      </c>
      <c r="I22" s="432" t="str">
        <f>VLOOKUP(C22,'Sales Master'!B$3:E$936,4,0)</f>
        <v>AAA</v>
      </c>
      <c r="J22" s="432"/>
      <c r="K22" s="22">
        <f>VLOOKUP(C22,'Sales Master'!B$3:AF$536,31,0)</f>
        <v>13</v>
      </c>
      <c r="L22" s="23">
        <f t="shared" si="3"/>
        <v>13</v>
      </c>
      <c r="N22" s="247">
        <f>VLOOKUP(C22,'Sales Master'!$B$3:$FA$3051,156,0)</f>
        <v>8.8000000000000007</v>
      </c>
      <c r="O22" s="247">
        <f t="shared" si="4"/>
        <v>4.1999999999999993</v>
      </c>
      <c r="P22" s="247">
        <f t="shared" si="5"/>
        <v>4.1999999999999993</v>
      </c>
    </row>
    <row r="23" spans="2:16" ht="20.149999999999999" customHeight="1" x14ac:dyDescent="0.45">
      <c r="B23" s="70"/>
      <c r="C23" s="370" t="s">
        <v>1020</v>
      </c>
      <c r="D23" s="430" t="str">
        <f>VLOOKUP(C23,'Sales Master'!B$3:D$644,2,0)</f>
        <v>Sea Coconut 海底椰</v>
      </c>
      <c r="E23" s="430"/>
      <c r="F23" s="430"/>
      <c r="G23" s="45">
        <v>2</v>
      </c>
      <c r="H23" s="241" t="str">
        <f>VLOOKUP(C23,'Sales Master'!B$3:F$936,5,0)</f>
        <v>1 Can X A10</v>
      </c>
      <c r="I23" s="432" t="str">
        <f>VLOOKUP(C23,'Sales Master'!B$3:E$936,4,0)</f>
        <v>Chefs</v>
      </c>
      <c r="J23" s="432"/>
      <c r="K23" s="22">
        <f>VLOOKUP(C23,'Sales Master'!B$3:AF$536,31,0)</f>
        <v>19</v>
      </c>
      <c r="L23" s="23">
        <f t="shared" si="3"/>
        <v>38</v>
      </c>
      <c r="N23" s="247">
        <f>VLOOKUP(C23,'Sales Master'!$B$3:$FA$3051,156,0)</f>
        <v>14.333333333333334</v>
      </c>
      <c r="O23" s="247">
        <f t="shared" si="4"/>
        <v>4.6666666666666661</v>
      </c>
      <c r="P23" s="247">
        <f t="shared" si="5"/>
        <v>9.3333333333333321</v>
      </c>
    </row>
    <row r="24" spans="2:16" ht="20.149999999999999" customHeight="1" x14ac:dyDescent="0.45">
      <c r="B24" s="70"/>
      <c r="C24" s="370" t="s">
        <v>1041</v>
      </c>
      <c r="D24" s="430" t="str">
        <f>VLOOKUP(C24,'Sales Master'!B$3:D$644,2,0)</f>
        <v>Canned Red Bean 罐头红豆</v>
      </c>
      <c r="E24" s="430"/>
      <c r="F24" s="430"/>
      <c r="G24" s="45">
        <v>12</v>
      </c>
      <c r="H24" s="241" t="str">
        <f>VLOOKUP(C24,'Sales Master'!B$3:F$936,5,0)</f>
        <v xml:space="preserve">3.3KG/Can </v>
      </c>
      <c r="I24" s="432" t="str">
        <f>VLOOKUP(C24,'Sales Master'!B$3:E$936,4,0)</f>
        <v>Joy</v>
      </c>
      <c r="J24" s="432"/>
      <c r="K24" s="22">
        <f>VLOOKUP(C24,'Sales Master'!B$3:AF$536,31,0)</f>
        <v>11</v>
      </c>
      <c r="L24" s="23">
        <f t="shared" ref="L24:L25" si="6">K24*G24</f>
        <v>132</v>
      </c>
      <c r="N24" s="247">
        <f>VLOOKUP(C24,'Sales Master'!$B$3:$FA$3051,156,0)</f>
        <v>8.3333333333333339</v>
      </c>
      <c r="O24" s="247">
        <f t="shared" ref="O24:O25" si="7">K24-N24</f>
        <v>2.6666666666666661</v>
      </c>
      <c r="P24" s="247">
        <f t="shared" ref="P24:P25" si="8">O24*G24</f>
        <v>31.999999999999993</v>
      </c>
    </row>
    <row r="25" spans="2:16" ht="20.149999999999999" customHeight="1" x14ac:dyDescent="0.45">
      <c r="B25" s="70"/>
      <c r="C25" s="370" t="s">
        <v>859</v>
      </c>
      <c r="D25" s="430" t="str">
        <f>VLOOKUP(C25,'Sales Master'!B$3:D$644,2,0)</f>
        <v>Food Coloring - Liquid) 颜色水</v>
      </c>
      <c r="E25" s="430"/>
      <c r="F25" s="430"/>
      <c r="G25" s="99">
        <v>1</v>
      </c>
      <c r="H25" s="241" t="str">
        <f>VLOOKUP(C25,'Sales Master'!B$3:F$936,5,0)</f>
        <v>500 ML/ Btl支</v>
      </c>
      <c r="I25" s="432" t="str">
        <f>VLOOKUP(C25,'Sales Master'!B$3:E$936,4,0)</f>
        <v>Red/红</v>
      </c>
      <c r="J25" s="432"/>
      <c r="K25" s="22">
        <f>VLOOKUP(C25,'Sales Master'!B$3:AF$536,31,0)</f>
        <v>2.7</v>
      </c>
      <c r="L25" s="23">
        <f t="shared" si="6"/>
        <v>2.7</v>
      </c>
      <c r="N25" s="247">
        <f>VLOOKUP(C25,'Sales Master'!$B$3:$FA$3051,156,0)</f>
        <v>1.9872000000000001</v>
      </c>
      <c r="O25" s="247">
        <f t="shared" si="7"/>
        <v>0.7128000000000001</v>
      </c>
      <c r="P25" s="247">
        <f t="shared" si="8"/>
        <v>0.7128000000000001</v>
      </c>
    </row>
    <row r="26" spans="2:16" ht="20.149999999999999" customHeight="1" x14ac:dyDescent="0.45">
      <c r="B26" s="70"/>
      <c r="C26" s="370" t="s">
        <v>1106</v>
      </c>
      <c r="D26" s="430" t="str">
        <f>VLOOKUP(C26,'Sales Master'!B$3:D$644,2,0)</f>
        <v>Food Coloring - Liquid) 颜色水</v>
      </c>
      <c r="E26" s="430"/>
      <c r="F26" s="430"/>
      <c r="G26" s="99">
        <v>1</v>
      </c>
      <c r="H26" s="241" t="str">
        <f>VLOOKUP(C26,'Sales Master'!B$3:F$936,5,0)</f>
        <v>500 ML/ Btl支</v>
      </c>
      <c r="I26" s="432" t="str">
        <f>VLOOKUP(C26,'Sales Master'!B$3:E$936,4,0)</f>
        <v>Green/青</v>
      </c>
      <c r="J26" s="432"/>
      <c r="K26" s="22">
        <f>VLOOKUP(C26,'Sales Master'!B$3:AF$536,31,0)</f>
        <v>2.7</v>
      </c>
      <c r="L26" s="23">
        <f t="shared" ref="L26" si="9">K26*G26</f>
        <v>2.7</v>
      </c>
      <c r="N26" s="247">
        <f>VLOOKUP(C26,'Sales Master'!$B$3:$FA$3051,156,0)</f>
        <v>1.9872000000000001</v>
      </c>
      <c r="O26" s="247">
        <f t="shared" ref="O26" si="10">K26-N26</f>
        <v>0.7128000000000001</v>
      </c>
      <c r="P26" s="247">
        <f t="shared" ref="P26" si="11">O26*G26</f>
        <v>0.7128000000000001</v>
      </c>
    </row>
    <row r="27" spans="2:16" ht="20.149999999999999" customHeight="1" x14ac:dyDescent="0.45">
      <c r="B27" s="70"/>
      <c r="C27" s="338"/>
      <c r="D27" s="430"/>
      <c r="E27" s="430"/>
      <c r="F27" s="430"/>
      <c r="G27" s="99"/>
      <c r="H27" s="241"/>
      <c r="I27" s="432"/>
      <c r="J27" s="432"/>
      <c r="K27" s="22"/>
      <c r="L27" s="23"/>
      <c r="N27" s="247"/>
      <c r="O27" s="247"/>
      <c r="P27" s="247"/>
    </row>
    <row r="28" spans="2:16" ht="20.149999999999999" customHeight="1" x14ac:dyDescent="0.45">
      <c r="B28" s="70"/>
      <c r="C28" s="338"/>
      <c r="D28" s="430"/>
      <c r="E28" s="430"/>
      <c r="F28" s="430"/>
      <c r="G28" s="45"/>
      <c r="H28" s="241"/>
      <c r="I28" s="432"/>
      <c r="J28" s="432"/>
      <c r="K28" s="22"/>
      <c r="L28" s="23"/>
      <c r="N28" s="247"/>
      <c r="O28" s="247"/>
      <c r="P28" s="247"/>
    </row>
    <row r="29" spans="2:16" ht="20.149999999999999" customHeight="1" x14ac:dyDescent="0.45">
      <c r="B29" s="70"/>
      <c r="C29" s="338"/>
      <c r="D29" s="69"/>
      <c r="E29" s="69"/>
      <c r="F29" s="69"/>
      <c r="G29" s="45"/>
      <c r="H29" s="241"/>
      <c r="I29" s="322"/>
      <c r="J29" s="322"/>
      <c r="K29" s="22"/>
      <c r="L29" s="23"/>
      <c r="N29" s="247"/>
      <c r="O29" s="247"/>
      <c r="P29" s="247"/>
    </row>
    <row r="30" spans="2:16" ht="20.149999999999999" customHeight="1" x14ac:dyDescent="0.45">
      <c r="B30" s="70"/>
      <c r="C30" s="305" t="s">
        <v>1742</v>
      </c>
      <c r="G30" s="233"/>
      <c r="H30" s="65"/>
      <c r="I30" s="65"/>
      <c r="J30" s="65"/>
      <c r="K30" s="22"/>
      <c r="L30" s="98"/>
      <c r="N30" s="258"/>
      <c r="O30" s="258"/>
      <c r="P30" s="258"/>
    </row>
    <row r="31" spans="2:16" ht="20.149999999999999" customHeight="1" x14ac:dyDescent="0.45">
      <c r="B31" s="21"/>
      <c r="C31" s="338" t="s">
        <v>816</v>
      </c>
      <c r="D31" s="430" t="str">
        <f>VLOOKUP(C31,'Sales Master'!B$3:D$644,2,0)</f>
        <v xml:space="preserve">Fresh Soursop 红毛榴莲 </v>
      </c>
      <c r="E31" s="430"/>
      <c r="F31" s="430"/>
      <c r="G31" s="233">
        <v>1</v>
      </c>
      <c r="H31" s="241" t="str">
        <f>VLOOKUP(C31,'Sales Master'!B$3:F$936,5,0)</f>
        <v>5 KGS/ Pkt包</v>
      </c>
      <c r="I31" s="432" t="str">
        <f>VLOOKUP(C31,'Sales Master'!B$3:E$936,4,0)</f>
        <v>DO!</v>
      </c>
      <c r="J31" s="432"/>
      <c r="K31" s="22">
        <v>34</v>
      </c>
      <c r="L31" s="71"/>
    </row>
    <row r="32" spans="2:16" ht="20.149999999999999" customHeight="1" thickBot="1" x14ac:dyDescent="0.5">
      <c r="B32" s="24"/>
      <c r="C32" s="25"/>
      <c r="D32" s="73"/>
      <c r="E32" s="73"/>
      <c r="F32" s="73"/>
      <c r="G32" s="25"/>
      <c r="H32" s="66"/>
      <c r="I32" s="540"/>
      <c r="J32" s="540"/>
      <c r="K32" s="26"/>
      <c r="L32" s="74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>
        <f>SUM(L17:L33)</f>
        <v>341.9</v>
      </c>
      <c r="M34" s="95">
        <f>SUM(P18:P32)-L34*0.02</f>
        <v>96.450933333333325</v>
      </c>
      <c r="N34" s="405">
        <f>M34-L35</f>
        <v>71.125007407407395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>
        <f>L37</f>
        <v>25.325925925925926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>
        <f>L34/108*100</f>
        <v>316.57407407407408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0.08</v>
      </c>
      <c r="L37" s="44">
        <f>L36*K37</f>
        <v>25.325925925925926</v>
      </c>
    </row>
    <row r="38" spans="2:14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>
        <f>L36+L37</f>
        <v>341.9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4" ht="20.149999999999999" customHeight="1" x14ac:dyDescent="0.45">
      <c r="B40" s="183" t="s">
        <v>749</v>
      </c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43">
    <mergeCell ref="D26:F26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17:J17"/>
    <mergeCell ref="D19:F19"/>
    <mergeCell ref="I19:J19"/>
    <mergeCell ref="D18:F18"/>
    <mergeCell ref="I18:J18"/>
    <mergeCell ref="D17:F17"/>
    <mergeCell ref="D25:F25"/>
    <mergeCell ref="I25:J25"/>
    <mergeCell ref="I20:J20"/>
    <mergeCell ref="D21:F21"/>
    <mergeCell ref="I21:J21"/>
    <mergeCell ref="D27:F27"/>
    <mergeCell ref="I27:J27"/>
    <mergeCell ref="J36:K36"/>
    <mergeCell ref="J38:K38"/>
    <mergeCell ref="D22:F22"/>
    <mergeCell ref="I22:J22"/>
    <mergeCell ref="D31:F31"/>
    <mergeCell ref="I31:J31"/>
    <mergeCell ref="I32:J32"/>
    <mergeCell ref="J34:K34"/>
    <mergeCell ref="D23:F23"/>
    <mergeCell ref="I23:J23"/>
    <mergeCell ref="D24:F24"/>
    <mergeCell ref="I24:J24"/>
    <mergeCell ref="D28:F28"/>
    <mergeCell ref="I28:J28"/>
  </mergeCells>
  <conditionalFormatting sqref="C27">
    <cfRule type="duplicateValues" dxfId="37" priority="2"/>
  </conditionalFormatting>
  <conditionalFormatting sqref="C30">
    <cfRule type="duplicateValues" dxfId="36" priority="1"/>
  </conditionalFormatting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60B0-1F08-40EC-B0F5-5858B92E5EC2}">
  <sheetPr codeName="Sheet82">
    <tabColor rgb="FF7030A0"/>
    <pageSetUpPr fitToPage="1"/>
  </sheetPr>
  <dimension ref="B1:BM350"/>
  <sheetViews>
    <sheetView topLeftCell="A28" zoomScaleNormal="100" workbookViewId="0">
      <selection activeCell="D26" sqref="D26:F2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6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8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8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8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8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8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8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8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8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8" ht="19" thickBot="1" x14ac:dyDescent="0.5">
      <c r="B9" s="12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431</v>
      </c>
      <c r="J10" s="17" t="s">
        <v>26</v>
      </c>
      <c r="K10" s="455">
        <v>202311058</v>
      </c>
      <c r="L10" s="456"/>
      <c r="N10" s="437" t="s">
        <v>618</v>
      </c>
      <c r="O10" s="437"/>
      <c r="P10" s="437"/>
      <c r="Q10" s="437"/>
      <c r="R10" s="437"/>
    </row>
    <row r="11" spans="2:18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谢必安新甜 品                                      Blk 828 Tampines Street 81, #01-254 Singapore 520828</v>
      </c>
      <c r="G11" s="445"/>
      <c r="H11" s="446"/>
      <c r="J11" s="18" t="s">
        <v>9</v>
      </c>
      <c r="K11" s="460">
        <v>45232</v>
      </c>
      <c r="L11" s="461"/>
    </row>
    <row r="12" spans="2:18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8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8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8" ht="18" customHeight="1" thickBot="1" x14ac:dyDescent="0.5">
      <c r="B15" s="467"/>
      <c r="C15" s="468"/>
      <c r="D15" s="469"/>
      <c r="E15" s="14"/>
      <c r="F15" s="450"/>
      <c r="G15" s="451"/>
      <c r="H15" s="452"/>
      <c r="I15" s="60" t="s">
        <v>334</v>
      </c>
      <c r="J15" s="19" t="s">
        <v>11</v>
      </c>
      <c r="K15" s="483"/>
      <c r="L15" s="484"/>
    </row>
    <row r="16" spans="2:18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19.5" customHeight="1" x14ac:dyDescent="0.45">
      <c r="B18" s="103"/>
      <c r="C18" s="370" t="s">
        <v>887</v>
      </c>
      <c r="D18" s="496" t="str">
        <f>VLOOKUP(C18,'Sales Master'!B$3:D$644,2,0)</f>
        <v>Sweet Potato Powder 番薯粉</v>
      </c>
      <c r="E18" s="496"/>
      <c r="F18" s="496"/>
      <c r="G18" s="99">
        <v>2</v>
      </c>
      <c r="H18" s="241" t="str">
        <f>VLOOKUP(C18,'Sales Master'!B$3:F$936,5,0)</f>
        <v>3 kgs</v>
      </c>
      <c r="I18" s="432" t="str">
        <f>VLOOKUP(C18,'Sales Master'!B$3:E$936,4,0)</f>
        <v>RE-PACK</v>
      </c>
      <c r="J18" s="432"/>
      <c r="K18" s="22">
        <f>VLOOKUP(C18,'Sales Master'!B$3:BM$527,64,0)</f>
        <v>11</v>
      </c>
      <c r="L18" s="98">
        <f t="shared" ref="L18" si="0">K18*G18</f>
        <v>22</v>
      </c>
      <c r="N18" s="247">
        <f>VLOOKUP(C18,'Sales Master'!$B$3:$FA$3051,156,0)</f>
        <v>7.4399999999999995</v>
      </c>
      <c r="O18" s="247">
        <f t="shared" ref="O18" si="1">K18-N18</f>
        <v>3.5600000000000005</v>
      </c>
      <c r="P18" s="247">
        <f t="shared" ref="P18" si="2">O18*G18</f>
        <v>7.120000000000001</v>
      </c>
      <c r="Q18" s="95">
        <f t="shared" ref="Q18:Q19" si="3">N18*G18*0.07</f>
        <v>1.0416000000000001</v>
      </c>
    </row>
    <row r="19" spans="2:22" ht="20.149999999999999" customHeight="1" x14ac:dyDescent="0.45">
      <c r="B19" s="70"/>
      <c r="C19" s="370" t="s">
        <v>915</v>
      </c>
      <c r="D19" s="496" t="str">
        <f>VLOOKUP(C19,'Sales Master'!B$3:D$644,2,0)</f>
        <v>Atap Seeds in Syrup 亚嗒子</v>
      </c>
      <c r="E19" s="496"/>
      <c r="F19" s="496"/>
      <c r="G19" s="99">
        <v>1</v>
      </c>
      <c r="H19" s="241" t="str">
        <f>VLOOKUP(C19,'Sales Master'!B$3:F$936,5,0)</f>
        <v>NW (2.1:0.9) 3 kgs</v>
      </c>
      <c r="I19" s="432" t="str">
        <f>VLOOKUP(C19,'Sales Master'!B$3:E$936,4,0)</f>
        <v>2P</v>
      </c>
      <c r="J19" s="432"/>
      <c r="K19" s="22">
        <f>VLOOKUP(C19,'Sales Master'!B$3:BM$527,64,0)</f>
        <v>11.5</v>
      </c>
      <c r="L19" s="98">
        <f>K19*G19</f>
        <v>11.5</v>
      </c>
      <c r="N19" s="247">
        <f>VLOOKUP(C19,'Sales Master'!$B$3:$FA$3051,156,0)</f>
        <v>10.692</v>
      </c>
      <c r="O19" s="247">
        <f>K19-N19</f>
        <v>0.80799999999999983</v>
      </c>
      <c r="P19" s="247">
        <f>O19*G19</f>
        <v>0.80799999999999983</v>
      </c>
      <c r="Q19" s="95">
        <f t="shared" si="3"/>
        <v>0.74844000000000011</v>
      </c>
      <c r="R19" s="60">
        <v>2</v>
      </c>
      <c r="S19" s="60" t="s">
        <v>33</v>
      </c>
      <c r="T19" s="60" t="s">
        <v>48</v>
      </c>
      <c r="V19" s="60">
        <v>16</v>
      </c>
    </row>
    <row r="20" spans="2:22" ht="20.149999999999999" customHeight="1" x14ac:dyDescent="0.45">
      <c r="B20" s="21"/>
      <c r="C20" s="370" t="s">
        <v>918</v>
      </c>
      <c r="D20" s="496" t="str">
        <f>VLOOKUP(C20,'Sales Master'!B$3:D$644,2,0)</f>
        <v>Chin Chow 仙草</v>
      </c>
      <c r="E20" s="496"/>
      <c r="F20" s="496"/>
      <c r="G20" s="99">
        <v>1</v>
      </c>
      <c r="H20" s="241" t="str">
        <f>VLOOKUP(C20,'Sales Master'!B$3:F$936,5,0)</f>
        <v>5KGS/PKT</v>
      </c>
      <c r="I20" s="432" t="str">
        <f>VLOOKUP(C20,'Sales Master'!B$3:E$936,4,0)</f>
        <v>TSM</v>
      </c>
      <c r="J20" s="432"/>
      <c r="K20" s="22">
        <f>VLOOKUP(C20,'Sales Master'!B$3:BM$527,64,0)</f>
        <v>5</v>
      </c>
      <c r="L20" s="98">
        <f t="shared" ref="L20:L31" si="4">K20*G20</f>
        <v>5</v>
      </c>
      <c r="N20" s="247">
        <f>VLOOKUP(C20,'Sales Master'!$B$3:$FA$3051,156,0)</f>
        <v>4.32</v>
      </c>
      <c r="O20" s="247">
        <f t="shared" ref="O20:O31" si="5">K20-N20</f>
        <v>0.67999999999999972</v>
      </c>
      <c r="P20" s="247">
        <f t="shared" ref="P20:P31" si="6">O20*G20</f>
        <v>0.67999999999999972</v>
      </c>
      <c r="Q20" s="95">
        <f t="shared" ref="Q20:Q31" si="7">N20*G20*0.07</f>
        <v>0.30240000000000006</v>
      </c>
    </row>
    <row r="21" spans="2:22" ht="20.149999999999999" customHeight="1" x14ac:dyDescent="0.45">
      <c r="B21" s="70"/>
      <c r="C21" s="370" t="s">
        <v>924</v>
      </c>
      <c r="D21" s="496" t="str">
        <f>VLOOKUP(C21,'Sales Master'!B$3:D$644,2,0)</f>
        <v>Red Bean 红豆</v>
      </c>
      <c r="E21" s="496"/>
      <c r="F21" s="496"/>
      <c r="G21" s="99">
        <v>1</v>
      </c>
      <c r="H21" s="241" t="str">
        <f>VLOOKUP(C21,'Sales Master'!B$3:F$936,5,0)</f>
        <v>5 kgs</v>
      </c>
      <c r="I21" s="432" t="str">
        <f>VLOOKUP(C21,'Sales Master'!B$3:E$936,4,0)</f>
        <v>-</v>
      </c>
      <c r="J21" s="432"/>
      <c r="K21" s="22">
        <f>VLOOKUP(C21,'Sales Master'!B$3:BM$527,64,0)</f>
        <v>18.5</v>
      </c>
      <c r="L21" s="98">
        <f t="shared" ref="L21" si="8">K21*G21</f>
        <v>18.5</v>
      </c>
      <c r="N21" s="247">
        <f>VLOOKUP(C21,'Sales Master'!$B$3:$FA$3051,156,0)</f>
        <v>13.5</v>
      </c>
      <c r="O21" s="247">
        <f t="shared" ref="O21" si="9">K21-N21</f>
        <v>5</v>
      </c>
      <c r="P21" s="247">
        <f t="shared" ref="P21" si="10">O21*G21</f>
        <v>5</v>
      </c>
      <c r="Q21" s="95">
        <f t="shared" ref="Q21" si="11">N21*G21*0.07</f>
        <v>0.94500000000000006</v>
      </c>
    </row>
    <row r="22" spans="2:22" ht="20.149999999999999" customHeight="1" x14ac:dyDescent="0.45">
      <c r="B22" s="70"/>
      <c r="C22" s="370" t="s">
        <v>937</v>
      </c>
      <c r="D22" s="496" t="str">
        <f>VLOOKUP(C22,'Sales Master'!B$3:D$644,2,0)</f>
        <v>Green Bean 绿豆</v>
      </c>
      <c r="E22" s="496"/>
      <c r="F22" s="496"/>
      <c r="G22" s="99">
        <v>2</v>
      </c>
      <c r="H22" s="241" t="str">
        <f>VLOOKUP(C22,'Sales Master'!B$3:F$936,5,0)</f>
        <v>5 KGS</v>
      </c>
      <c r="I22" s="432" t="str">
        <f>VLOOKUP(C22,'Sales Master'!B$3:E$936,4,0)</f>
        <v>-</v>
      </c>
      <c r="J22" s="432"/>
      <c r="K22" s="22">
        <f>VLOOKUP(C22,'Sales Master'!B$3:BM$527,64,0)</f>
        <v>13.5</v>
      </c>
      <c r="L22" s="98">
        <f t="shared" ref="L22" si="12">K22*G22</f>
        <v>27</v>
      </c>
      <c r="N22" s="247">
        <f>VLOOKUP(C22,'Sales Master'!$B$3:$FA$3051,156,0)</f>
        <v>9.7199999999999989</v>
      </c>
      <c r="O22" s="247">
        <f t="shared" ref="O22" si="13">K22-N22</f>
        <v>3.7800000000000011</v>
      </c>
      <c r="P22" s="247">
        <f t="shared" ref="P22" si="14">O22*G22</f>
        <v>7.5600000000000023</v>
      </c>
      <c r="Q22" s="95">
        <f t="shared" ref="Q22" si="15">N22*G22*0.07</f>
        <v>1.3608</v>
      </c>
    </row>
    <row r="23" spans="2:22" ht="20.149999999999999" customHeight="1" x14ac:dyDescent="0.45">
      <c r="B23" s="70"/>
      <c r="C23" s="370" t="s">
        <v>943</v>
      </c>
      <c r="D23" s="496" t="str">
        <f>VLOOKUP(C23,'Sales Master'!B$3:D$644,2,0)</f>
        <v>Split Green Mung Bean 豆爽</v>
      </c>
      <c r="E23" s="496"/>
      <c r="F23" s="496"/>
      <c r="G23" s="99">
        <v>2</v>
      </c>
      <c r="H23" s="241" t="str">
        <f>VLOOKUP(C23,'Sales Master'!B$3:F$936,5,0)</f>
        <v>5 KG</v>
      </c>
      <c r="I23" s="432" t="str">
        <f>VLOOKUP(C23,'Sales Master'!B$3:E$936,4,0)</f>
        <v>SW</v>
      </c>
      <c r="J23" s="432"/>
      <c r="K23" s="22">
        <f>VLOOKUP(C23,'Sales Master'!B$3:BM$527,64,0)</f>
        <v>17.5</v>
      </c>
      <c r="L23" s="98">
        <f t="shared" si="4"/>
        <v>35</v>
      </c>
      <c r="N23" s="247">
        <f>VLOOKUP(C23,'Sales Master'!$B$3:$FA$3051,156,0)</f>
        <v>14.040000000000001</v>
      </c>
      <c r="O23" s="247">
        <f t="shared" si="5"/>
        <v>3.4599999999999991</v>
      </c>
      <c r="P23" s="247">
        <f t="shared" si="6"/>
        <v>6.9199999999999982</v>
      </c>
      <c r="Q23" s="95">
        <f t="shared" si="7"/>
        <v>1.9656000000000002</v>
      </c>
    </row>
    <row r="24" spans="2:22" ht="20.149999999999999" customHeight="1" x14ac:dyDescent="0.45">
      <c r="B24" s="70"/>
      <c r="C24" s="370" t="s">
        <v>949</v>
      </c>
      <c r="D24" s="496" t="str">
        <f>VLOOKUP(C24,'Sales Master'!B$3:D$644,2,0)</f>
        <v>Black Glutinous Rice 黑糯米</v>
      </c>
      <c r="E24" s="496"/>
      <c r="F24" s="496"/>
      <c r="G24" s="99">
        <v>2</v>
      </c>
      <c r="H24" s="241" t="str">
        <f>VLOOKUP(C24,'Sales Master'!B$3:F$936,5,0)</f>
        <v>5 kgs</v>
      </c>
      <c r="I24" s="432" t="str">
        <f>VLOOKUP(C24,'Sales Master'!B$3:E$936,4,0)</f>
        <v>-</v>
      </c>
      <c r="J24" s="432"/>
      <c r="K24" s="22">
        <f>VLOOKUP(C24,'Sales Master'!B$3:BM$527,64,0)</f>
        <v>18</v>
      </c>
      <c r="L24" s="98">
        <f t="shared" si="4"/>
        <v>36</v>
      </c>
      <c r="N24" s="247">
        <f>VLOOKUP(C24,'Sales Master'!$B$3:$FA$3051,156,0)</f>
        <v>12.960000000000003</v>
      </c>
      <c r="O24" s="247">
        <f t="shared" si="5"/>
        <v>5.0399999999999974</v>
      </c>
      <c r="P24" s="247">
        <f t="shared" si="6"/>
        <v>10.079999999999995</v>
      </c>
      <c r="Q24" s="95">
        <f t="shared" si="7"/>
        <v>1.8144000000000005</v>
      </c>
    </row>
    <row r="25" spans="2:22" ht="20.149999999999999" customHeight="1" x14ac:dyDescent="0.45">
      <c r="B25" s="70"/>
      <c r="C25" s="370" t="s">
        <v>953</v>
      </c>
      <c r="D25" s="496" t="str">
        <f>VLOOKUP(C25,'Sales Master'!B$3:D$644,2,0)</f>
        <v>White Glutinous Rice 白糯米</v>
      </c>
      <c r="E25" s="496"/>
      <c r="F25" s="496"/>
      <c r="G25" s="99">
        <v>1</v>
      </c>
      <c r="H25" s="241" t="str">
        <f>VLOOKUP(C25,'Sales Master'!B$3:F$936,5,0)</f>
        <v>5 kgs</v>
      </c>
      <c r="I25" s="432" t="str">
        <f>VLOOKUP(C25,'Sales Master'!B$3:E$936,4,0)</f>
        <v>-</v>
      </c>
      <c r="J25" s="432"/>
      <c r="K25" s="22">
        <f>VLOOKUP(C25,'Sales Master'!B$3:BM$527,64,0)</f>
        <v>10</v>
      </c>
      <c r="L25" s="98">
        <f t="shared" si="4"/>
        <v>10</v>
      </c>
      <c r="N25" s="247">
        <f>VLOOKUP(C25,'Sales Master'!$B$3:$FA$3051,156,0)</f>
        <v>6</v>
      </c>
      <c r="O25" s="247">
        <f t="shared" si="5"/>
        <v>4</v>
      </c>
      <c r="P25" s="247">
        <f t="shared" si="6"/>
        <v>4</v>
      </c>
      <c r="Q25" s="95">
        <f t="shared" si="7"/>
        <v>0.42000000000000004</v>
      </c>
    </row>
    <row r="26" spans="2:22" ht="20.149999999999999" customHeight="1" x14ac:dyDescent="0.45">
      <c r="B26" s="70"/>
      <c r="C26" s="370" t="s">
        <v>958</v>
      </c>
      <c r="D26" s="496" t="str">
        <f>VLOOKUP(C26,'Sales Master'!B$3:D$644,2,0)</f>
        <v>Pearl Barley 薏米</v>
      </c>
      <c r="E26" s="496"/>
      <c r="F26" s="496"/>
      <c r="G26" s="99">
        <v>1</v>
      </c>
      <c r="H26" s="241" t="str">
        <f>VLOOKUP(C26,'Sales Master'!B$3:F$936,5,0)</f>
        <v>5 kgs</v>
      </c>
      <c r="I26" s="432" t="str">
        <f>VLOOKUP(C26,'Sales Master'!B$3:E$936,4,0)</f>
        <v>-</v>
      </c>
      <c r="J26" s="432"/>
      <c r="K26" s="22">
        <f>VLOOKUP(C26,'Sales Master'!B$3:BM$527,64,0)</f>
        <v>10</v>
      </c>
      <c r="L26" s="98">
        <f t="shared" si="4"/>
        <v>10</v>
      </c>
      <c r="N26" s="247">
        <f>VLOOKUP(C26,'Sales Master'!$B$3:$FA$3051,156,0)</f>
        <v>7.6</v>
      </c>
      <c r="O26" s="247">
        <f t="shared" si="5"/>
        <v>2.4000000000000004</v>
      </c>
      <c r="P26" s="247">
        <f t="shared" si="6"/>
        <v>2.4000000000000004</v>
      </c>
      <c r="Q26" s="95">
        <f t="shared" si="7"/>
        <v>0.53200000000000003</v>
      </c>
    </row>
    <row r="27" spans="2:22" ht="20.149999999999999" customHeight="1" x14ac:dyDescent="0.45">
      <c r="B27" s="70"/>
      <c r="C27" s="370" t="s">
        <v>968</v>
      </c>
      <c r="D27" s="496" t="str">
        <f>VLOOKUP(C27,'Sales Master'!B$3:D$644,2,0)</f>
        <v>Dried Longan 龙眼干</v>
      </c>
      <c r="E27" s="496"/>
      <c r="F27" s="496"/>
      <c r="G27" s="99">
        <v>2</v>
      </c>
      <c r="H27" s="241" t="str">
        <f>VLOOKUP(C27,'Sales Master'!B$3:F$936,5,0)</f>
        <v>1 kg</v>
      </c>
      <c r="I27" s="432" t="str">
        <f>VLOOKUP(C27,'Sales Master'!B$3:E$936,4,0)</f>
        <v>AAA</v>
      </c>
      <c r="J27" s="432"/>
      <c r="K27" s="22">
        <f>VLOOKUP(C27,'Sales Master'!B$3:BM$527,64,0)</f>
        <v>13</v>
      </c>
      <c r="L27" s="98">
        <f t="shared" si="4"/>
        <v>26</v>
      </c>
      <c r="N27" s="247">
        <f>VLOOKUP(C27,'Sales Master'!$B$3:$FA$3051,156,0)</f>
        <v>8.8000000000000007</v>
      </c>
      <c r="O27" s="247">
        <f t="shared" si="5"/>
        <v>4.1999999999999993</v>
      </c>
      <c r="P27" s="247">
        <f t="shared" si="6"/>
        <v>8.3999999999999986</v>
      </c>
      <c r="Q27" s="95">
        <f t="shared" si="7"/>
        <v>1.2320000000000002</v>
      </c>
    </row>
    <row r="28" spans="2:22" ht="20.149999999999999" customHeight="1" x14ac:dyDescent="0.45">
      <c r="B28" s="70"/>
      <c r="C28" s="370" t="s">
        <v>1020</v>
      </c>
      <c r="D28" s="496" t="str">
        <f>VLOOKUP(C28,'Sales Master'!B$3:D$644,2,0)</f>
        <v>Sea Coconut 海底椰</v>
      </c>
      <c r="E28" s="496"/>
      <c r="F28" s="496"/>
      <c r="G28" s="99">
        <v>2</v>
      </c>
      <c r="H28" s="241" t="str">
        <f>VLOOKUP(C28,'Sales Master'!B$3:F$936,5,0)</f>
        <v>1 Can X A10</v>
      </c>
      <c r="I28" s="432" t="str">
        <f>VLOOKUP(C28,'Sales Master'!B$3:E$936,4,0)</f>
        <v>Chefs</v>
      </c>
      <c r="J28" s="432"/>
      <c r="K28" s="22">
        <f>VLOOKUP(C28,'Sales Master'!B$3:BM$527,64,0)</f>
        <v>18.5</v>
      </c>
      <c r="L28" s="98">
        <f t="shared" si="4"/>
        <v>37</v>
      </c>
      <c r="N28" s="247">
        <f>VLOOKUP(C28,'Sales Master'!$B$3:$FA$3051,156,0)</f>
        <v>14.333333333333334</v>
      </c>
      <c r="O28" s="247">
        <f t="shared" si="5"/>
        <v>4.1666666666666661</v>
      </c>
      <c r="P28" s="247">
        <f t="shared" si="6"/>
        <v>8.3333333333333321</v>
      </c>
      <c r="Q28" s="95">
        <f t="shared" si="7"/>
        <v>2.0066666666666668</v>
      </c>
    </row>
    <row r="29" spans="2:22" ht="20.149999999999999" customHeight="1" x14ac:dyDescent="0.45">
      <c r="B29" s="70"/>
      <c r="C29" s="370" t="s">
        <v>1044</v>
      </c>
      <c r="D29" s="496" t="str">
        <f>VLOOKUP(C29,'Sales Master'!B$3:D$644,2,0)</f>
        <v>Carnation Milk 三花淡奶水</v>
      </c>
      <c r="E29" s="496"/>
      <c r="F29" s="496"/>
      <c r="G29" s="99">
        <v>1</v>
      </c>
      <c r="H29" s="241" t="str">
        <f>VLOOKUP(C29,'Sales Master'!B$3:F$936,5,0)</f>
        <v>405 gm x48 can/Ctn</v>
      </c>
      <c r="I29" s="432" t="str">
        <f>VLOOKUP(C29,'Sales Master'!B$3:E$936,4,0)</f>
        <v>Threeflower</v>
      </c>
      <c r="J29" s="432"/>
      <c r="K29" s="22">
        <f>VLOOKUP(C29,'Sales Master'!B$3:BM$527,64,0)</f>
        <v>60</v>
      </c>
      <c r="L29" s="98">
        <f t="shared" ref="L29" si="16">K29*G29</f>
        <v>60</v>
      </c>
      <c r="N29" s="247">
        <f>VLOOKUP(C29,'Sales Master'!$B$3:$FA$3051,156,0)</f>
        <v>52</v>
      </c>
      <c r="O29" s="247">
        <f t="shared" ref="O29" si="17">K29-N29</f>
        <v>8</v>
      </c>
      <c r="P29" s="247">
        <f t="shared" ref="P29" si="18">O29*G29</f>
        <v>8</v>
      </c>
      <c r="Q29" s="95">
        <f t="shared" ref="Q29" si="19">N29*G29*0.07</f>
        <v>3.6400000000000006</v>
      </c>
    </row>
    <row r="30" spans="2:22" ht="20.149999999999999" customHeight="1" x14ac:dyDescent="0.45">
      <c r="B30" s="70"/>
      <c r="C30" s="370" t="s">
        <v>1285</v>
      </c>
      <c r="D30" s="496" t="str">
        <f>VLOOKUP(C30,'Sales Master'!B$3:D$644,2,0)</f>
        <v>CORN CREAM 玉米浆</v>
      </c>
      <c r="E30" s="496"/>
      <c r="F30" s="496"/>
      <c r="G30" s="99">
        <v>1</v>
      </c>
      <c r="H30" s="241" t="str">
        <f>VLOOKUP(C30,'Sales Master'!B$3:F$936,5,0)</f>
        <v>24 CAN/CARTON</v>
      </c>
      <c r="I30" s="432" t="str">
        <f>VLOOKUP(C30,'Sales Master'!B$3:E$936,4,0)</f>
        <v>GOLDEN BOY</v>
      </c>
      <c r="J30" s="432"/>
      <c r="K30" s="22">
        <f>VLOOKUP(C30,'Sales Master'!B$3:BM$527,64,0)</f>
        <v>23</v>
      </c>
      <c r="L30" s="98">
        <f t="shared" si="4"/>
        <v>23</v>
      </c>
      <c r="N30" s="247">
        <f>VLOOKUP(C30,'Sales Master'!$B$3:$FA$3051,156,0)</f>
        <v>19</v>
      </c>
      <c r="O30" s="247">
        <f t="shared" si="5"/>
        <v>4</v>
      </c>
      <c r="P30" s="247">
        <f t="shared" si="6"/>
        <v>4</v>
      </c>
      <c r="Q30" s="95">
        <f t="shared" si="7"/>
        <v>1.33</v>
      </c>
    </row>
    <row r="31" spans="2:22" ht="20.149999999999999" customHeight="1" x14ac:dyDescent="0.45">
      <c r="B31" s="70"/>
      <c r="C31" s="370" t="s">
        <v>1300</v>
      </c>
      <c r="D31" s="496" t="str">
        <f>VLOOKUP(C31,'Sales Master'!B$3:D$644,2,0)</f>
        <v>CORN WHOLE 玉米粒</v>
      </c>
      <c r="E31" s="496"/>
      <c r="F31" s="496"/>
      <c r="G31" s="99">
        <v>1</v>
      </c>
      <c r="H31" s="241" t="str">
        <f>VLOOKUP(C31,'Sales Master'!B$3:F$936,5,0)</f>
        <v>24 CAN/CARTON</v>
      </c>
      <c r="I31" s="432" t="str">
        <f>VLOOKUP(C31,'Sales Master'!B$3:E$936,4,0)</f>
        <v>GOLDEN BOY</v>
      </c>
      <c r="J31" s="432"/>
      <c r="K31" s="22">
        <f>VLOOKUP(C31,'Sales Master'!B$3:BM$527,64,0)</f>
        <v>23</v>
      </c>
      <c r="L31" s="98">
        <f t="shared" si="4"/>
        <v>23</v>
      </c>
      <c r="N31" s="247">
        <f>VLOOKUP(C31,'Sales Master'!$B$3:$FA$3051,156,0)</f>
        <v>18</v>
      </c>
      <c r="O31" s="247">
        <f t="shared" si="5"/>
        <v>5</v>
      </c>
      <c r="P31" s="247">
        <f t="shared" si="6"/>
        <v>5</v>
      </c>
      <c r="Q31" s="95">
        <f t="shared" si="7"/>
        <v>1.2600000000000002</v>
      </c>
    </row>
    <row r="32" spans="2:22" ht="20.149999999999999" customHeight="1" x14ac:dyDescent="0.45">
      <c r="B32" s="70"/>
      <c r="C32" s="370" t="s">
        <v>1080</v>
      </c>
      <c r="D32" s="496" t="str">
        <f>VLOOKUP(C32,'Sales Master'!B$3:D$644,2,0)</f>
        <v>Fine Sugar 白糖</v>
      </c>
      <c r="E32" s="496"/>
      <c r="F32" s="496"/>
      <c r="G32" s="99">
        <v>2</v>
      </c>
      <c r="H32" s="241" t="str">
        <f>VLOOKUP(C32,'Sales Master'!B$3:F$936,5,0)</f>
        <v>25 KGS</v>
      </c>
      <c r="I32" s="432" t="str">
        <f>VLOOKUP(C32,'Sales Master'!B$3:E$936,4,0)</f>
        <v>MITR PHOL</v>
      </c>
      <c r="J32" s="432"/>
      <c r="K32" s="22">
        <f>VLOOKUP(C32,'Sales Master'!B$3:BM$527,64,0)</f>
        <v>34</v>
      </c>
      <c r="L32" s="98">
        <f t="shared" ref="L32" si="20">K32*G32</f>
        <v>68</v>
      </c>
      <c r="N32" s="247">
        <f>VLOOKUP(C32,'Sales Master'!$B$3:$FA$3051,156,0)</f>
        <v>26.784000000000002</v>
      </c>
      <c r="O32" s="247">
        <f t="shared" ref="O32" si="21">K32-N32</f>
        <v>7.2159999999999975</v>
      </c>
      <c r="P32" s="247">
        <f t="shared" ref="P32" si="22">O32*G32</f>
        <v>14.431999999999995</v>
      </c>
      <c r="Q32" s="95">
        <f t="shared" ref="Q32" si="23">N32*G32*0.07</f>
        <v>3.7497600000000006</v>
      </c>
    </row>
    <row r="33" spans="2:19" ht="20.149999999999999" customHeight="1" x14ac:dyDescent="0.45">
      <c r="B33" s="70"/>
      <c r="C33" s="370"/>
      <c r="D33" s="130"/>
      <c r="E33" s="130"/>
      <c r="F33" s="130"/>
      <c r="G33" s="99"/>
      <c r="H33" s="241"/>
      <c r="I33" s="322"/>
      <c r="J33" s="322"/>
      <c r="K33" s="22"/>
      <c r="L33" s="98"/>
      <c r="N33" s="247"/>
      <c r="O33" s="247"/>
      <c r="P33" s="247"/>
      <c r="Q33" s="95"/>
    </row>
    <row r="34" spans="2:19" ht="20.149999999999999" customHeight="1" x14ac:dyDescent="0.45">
      <c r="B34" s="70"/>
      <c r="C34" s="370"/>
      <c r="D34" s="130"/>
      <c r="E34" s="130"/>
      <c r="F34" s="130"/>
      <c r="G34" s="99"/>
      <c r="H34" s="241"/>
      <c r="I34" s="322"/>
      <c r="J34" s="322"/>
      <c r="K34" s="22"/>
      <c r="L34" s="98"/>
      <c r="N34" s="247"/>
      <c r="O34" s="247"/>
      <c r="P34" s="247"/>
      <c r="Q34" s="95"/>
    </row>
    <row r="35" spans="2:19" ht="19.5" customHeight="1" x14ac:dyDescent="0.45">
      <c r="B35" s="103"/>
      <c r="C35" s="305" t="s">
        <v>1736</v>
      </c>
      <c r="E35" s="69"/>
      <c r="F35" s="69"/>
      <c r="G35" s="99"/>
      <c r="H35" s="65"/>
      <c r="I35" s="65"/>
      <c r="J35" s="65"/>
      <c r="K35" s="22"/>
      <c r="L35" s="98"/>
      <c r="N35" s="247"/>
      <c r="O35" s="247"/>
      <c r="P35" s="247"/>
      <c r="Q35" s="95"/>
    </row>
    <row r="36" spans="2:19" ht="19.5" customHeight="1" x14ac:dyDescent="0.45">
      <c r="B36" s="103"/>
      <c r="C36" s="338" t="s">
        <v>1080</v>
      </c>
      <c r="D36" s="430" t="str">
        <f>VLOOKUP(C36,'Sales Master'!B$3:D$643,2,0)</f>
        <v>Fine Sugar 白糖</v>
      </c>
      <c r="E36" s="430"/>
      <c r="F36" s="430"/>
      <c r="G36" s="99">
        <v>1</v>
      </c>
      <c r="H36" s="206" t="str">
        <f>VLOOKUP(C36,'Sales Master'!B$3:F$936,5,0)</f>
        <v>25 KGS</v>
      </c>
      <c r="I36" s="432" t="str">
        <f>VLOOKUP(C36,'Sales Master'!B$3:E$936,4,0)</f>
        <v>MITR PHOL</v>
      </c>
      <c r="J36" s="432"/>
      <c r="K36" s="22">
        <v>34</v>
      </c>
      <c r="L36" s="98"/>
      <c r="N36" s="247"/>
      <c r="O36" s="247"/>
      <c r="P36" s="247"/>
    </row>
    <row r="37" spans="2:19" ht="19.5" customHeight="1" x14ac:dyDescent="0.45">
      <c r="B37" s="103"/>
      <c r="C37" s="99"/>
      <c r="D37" s="496"/>
      <c r="E37" s="496"/>
      <c r="F37" s="496"/>
      <c r="G37" s="99"/>
      <c r="H37" s="241"/>
      <c r="I37" s="432"/>
      <c r="J37" s="432"/>
      <c r="K37" s="96"/>
      <c r="L37" s="98"/>
      <c r="N37" s="247"/>
      <c r="O37" s="247"/>
      <c r="P37" s="247"/>
    </row>
    <row r="38" spans="2:19" ht="19.5" customHeight="1" x14ac:dyDescent="0.45">
      <c r="B38" s="170"/>
      <c r="C38" s="91"/>
      <c r="D38" s="186"/>
      <c r="E38" s="186"/>
      <c r="F38" s="186"/>
      <c r="G38" s="91"/>
      <c r="H38" s="123"/>
      <c r="I38" s="123"/>
      <c r="J38" s="123"/>
      <c r="K38" s="128"/>
      <c r="L38" s="129"/>
    </row>
    <row r="39" spans="2:19" ht="20.149999999999999" customHeight="1" thickBot="1" x14ac:dyDescent="0.5">
      <c r="B39" s="28"/>
      <c r="L39" s="29"/>
    </row>
    <row r="40" spans="2:19" ht="20.149999999999999" customHeight="1" x14ac:dyDescent="0.45">
      <c r="B40" s="11" t="s">
        <v>16</v>
      </c>
      <c r="C40" s="10"/>
      <c r="D40" s="10"/>
      <c r="E40" s="10"/>
      <c r="F40" s="10"/>
      <c r="G40" s="10"/>
      <c r="H40" s="10"/>
      <c r="I40" s="10"/>
      <c r="J40" s="474" t="s">
        <v>13</v>
      </c>
      <c r="K40" s="475"/>
      <c r="L40" s="30">
        <f>SUM(L18:L39)</f>
        <v>412</v>
      </c>
      <c r="M40" s="95">
        <f>SUM(P18:P38)-L40*0.02</f>
        <v>84.493333333333325</v>
      </c>
      <c r="N40" s="248">
        <f>M40/L40</f>
        <v>0.20508090614886729</v>
      </c>
      <c r="O40" s="12"/>
      <c r="P40" s="12"/>
      <c r="Q40" s="12"/>
      <c r="R40" s="12"/>
    </row>
    <row r="41" spans="2:19" ht="20.149999999999999" customHeight="1" x14ac:dyDescent="0.45">
      <c r="B41" s="11" t="s">
        <v>17</v>
      </c>
      <c r="C41" s="10"/>
      <c r="D41" s="10"/>
      <c r="E41" s="10"/>
      <c r="F41" s="10"/>
      <c r="G41" s="10"/>
      <c r="H41" s="10"/>
      <c r="I41" s="10"/>
      <c r="J41" s="110" t="s">
        <v>553</v>
      </c>
      <c r="K41" s="113">
        <v>6.54E-2</v>
      </c>
      <c r="L41" s="32">
        <f>L43</f>
        <v>30.518518518518519</v>
      </c>
      <c r="M41" s="95"/>
      <c r="N41" s="12"/>
      <c r="O41" s="12"/>
      <c r="P41" s="12"/>
      <c r="Q41" s="12"/>
      <c r="R41" s="12"/>
    </row>
    <row r="42" spans="2:19" ht="20.149999999999999" customHeight="1" x14ac:dyDescent="0.45">
      <c r="B42" s="11" t="s">
        <v>18</v>
      </c>
      <c r="C42" s="10"/>
      <c r="D42" s="10"/>
      <c r="E42" s="10"/>
      <c r="F42" s="10"/>
      <c r="G42" s="10"/>
      <c r="H42" s="10"/>
      <c r="I42" s="10"/>
      <c r="J42" s="476" t="s">
        <v>555</v>
      </c>
      <c r="K42" s="477"/>
      <c r="L42" s="114">
        <f>L40/108*100</f>
        <v>381.48148148148147</v>
      </c>
      <c r="N42" s="12"/>
      <c r="O42" s="12"/>
      <c r="P42" s="12"/>
      <c r="Q42" s="12"/>
      <c r="R42" s="12"/>
    </row>
    <row r="43" spans="2:19" ht="20.149999999999999" customHeight="1" x14ac:dyDescent="0.45">
      <c r="B43" s="11" t="s">
        <v>22</v>
      </c>
      <c r="C43" s="10"/>
      <c r="D43" s="10"/>
      <c r="E43" s="10"/>
      <c r="F43" s="10"/>
      <c r="G43" s="10"/>
      <c r="H43" s="10"/>
      <c r="I43" s="10"/>
      <c r="J43" s="111" t="s">
        <v>554</v>
      </c>
      <c r="K43" s="112">
        <v>0.08</v>
      </c>
      <c r="L43" s="44">
        <f>L42*K43</f>
        <v>30.518518518518519</v>
      </c>
      <c r="N43" s="12"/>
      <c r="O43" s="12"/>
      <c r="P43" s="12"/>
      <c r="Q43" s="12"/>
      <c r="R43" s="12"/>
    </row>
    <row r="44" spans="2:19" ht="20.149999999999999" customHeight="1" thickBot="1" x14ac:dyDescent="0.5">
      <c r="B44" s="11" t="s">
        <v>748</v>
      </c>
      <c r="C44" s="10"/>
      <c r="D44" s="10"/>
      <c r="E44" s="10"/>
      <c r="F44" s="10"/>
      <c r="G44" s="10"/>
      <c r="H44" s="10"/>
      <c r="I44" s="10"/>
      <c r="J44" s="478" t="s">
        <v>21</v>
      </c>
      <c r="K44" s="479"/>
      <c r="L44" s="33">
        <f>L42+L43</f>
        <v>412</v>
      </c>
      <c r="N44" s="12"/>
      <c r="O44" s="12"/>
      <c r="P44" s="12"/>
      <c r="Q44" s="12"/>
      <c r="R44" s="12"/>
    </row>
    <row r="45" spans="2:19" ht="20.149999999999999" customHeight="1" x14ac:dyDescent="0.45">
      <c r="B45" s="11" t="s">
        <v>23</v>
      </c>
      <c r="C45" s="10"/>
      <c r="D45" s="10"/>
      <c r="E45" s="10"/>
      <c r="F45" s="10"/>
      <c r="G45" s="10"/>
      <c r="H45" s="10"/>
      <c r="I45" s="10"/>
      <c r="L45" s="29"/>
      <c r="N45" s="12"/>
      <c r="O45" s="12"/>
      <c r="P45" s="12"/>
      <c r="Q45" s="12"/>
      <c r="R45" s="12"/>
    </row>
    <row r="46" spans="2:19" ht="20.149999999999999" customHeight="1" x14ac:dyDescent="0.45">
      <c r="B46" s="183" t="s">
        <v>749</v>
      </c>
      <c r="L46" s="29"/>
      <c r="N46" s="140"/>
      <c r="O46" s="12"/>
      <c r="P46" s="12"/>
      <c r="Q46" s="12"/>
      <c r="R46" s="255"/>
      <c r="S46" s="65"/>
    </row>
    <row r="47" spans="2:19" ht="20.149999999999999" customHeight="1" x14ac:dyDescent="0.45">
      <c r="B47" s="183"/>
      <c r="L47" s="29"/>
      <c r="N47" s="140"/>
      <c r="O47" s="12"/>
      <c r="P47" s="12"/>
      <c r="Q47" s="12"/>
      <c r="R47" s="255"/>
      <c r="S47" s="65"/>
    </row>
    <row r="48" spans="2:19" ht="20.149999999999999" customHeight="1" x14ac:dyDescent="0.45">
      <c r="B48" s="28"/>
      <c r="L48" s="29"/>
      <c r="N48" s="12"/>
      <c r="O48" s="12"/>
      <c r="P48" s="12"/>
      <c r="Q48" s="12"/>
      <c r="R48" s="12"/>
    </row>
    <row r="49" spans="2:18" ht="20.149999999999999" customHeight="1" x14ac:dyDescent="0.45">
      <c r="B49" s="34"/>
      <c r="C49" s="35"/>
      <c r="D49" s="35"/>
      <c r="J49" s="35"/>
      <c r="K49" s="35"/>
      <c r="L49" s="36"/>
      <c r="N49" s="12"/>
      <c r="O49" s="12"/>
      <c r="P49" s="12"/>
      <c r="Q49" s="12"/>
      <c r="R49" s="12"/>
    </row>
    <row r="50" spans="2:18" ht="20.149999999999999" customHeight="1" x14ac:dyDescent="0.45">
      <c r="B50" s="28" t="s">
        <v>24</v>
      </c>
      <c r="J50" s="60" t="s">
        <v>25</v>
      </c>
      <c r="L50" s="29"/>
      <c r="N50" s="12"/>
      <c r="O50" s="12"/>
      <c r="P50" s="12"/>
      <c r="Q50" s="12"/>
      <c r="R50" s="12"/>
    </row>
    <row r="51" spans="2:18" ht="19" thickBot="1" x14ac:dyDescent="0.5">
      <c r="B51" s="37"/>
      <c r="C51" s="62"/>
      <c r="D51" s="62"/>
      <c r="E51" s="62"/>
      <c r="F51" s="62"/>
      <c r="G51" s="62"/>
      <c r="H51" s="62"/>
      <c r="I51" s="62"/>
      <c r="J51" s="62"/>
      <c r="K51" s="62"/>
      <c r="L51" s="38"/>
      <c r="N51" s="12"/>
      <c r="O51" s="12"/>
      <c r="P51" s="12"/>
      <c r="Q51" s="12"/>
      <c r="R51" s="12"/>
    </row>
    <row r="52" spans="2:18" x14ac:dyDescent="0.45">
      <c r="N52" s="12"/>
      <c r="O52" s="12"/>
      <c r="P52" s="12"/>
      <c r="Q52" s="12"/>
      <c r="R52" s="12"/>
    </row>
    <row r="53" spans="2:18" x14ac:dyDescent="0.45">
      <c r="N53" s="12"/>
      <c r="O53" s="12"/>
      <c r="P53" s="12"/>
      <c r="Q53" s="12"/>
      <c r="R53" s="12"/>
    </row>
    <row r="54" spans="2:18" x14ac:dyDescent="0.45">
      <c r="N54" s="12"/>
      <c r="O54" s="12"/>
      <c r="P54" s="12"/>
      <c r="Q54" s="12"/>
      <c r="R54" s="12"/>
    </row>
    <row r="150" spans="65:65" x14ac:dyDescent="0.45">
      <c r="BM150" s="60">
        <v>18.5</v>
      </c>
    </row>
    <row r="173" spans="65:65" x14ac:dyDescent="0.45">
      <c r="BM173" s="60">
        <v>17.5</v>
      </c>
    </row>
    <row r="350" spans="65:65" x14ac:dyDescent="0.45">
      <c r="BM350" s="60">
        <v>30.5</v>
      </c>
    </row>
  </sheetData>
  <mergeCells count="53">
    <mergeCell ref="N10:R10"/>
    <mergeCell ref="D28:F28"/>
    <mergeCell ref="I28:J28"/>
    <mergeCell ref="D25:F25"/>
    <mergeCell ref="I17:J17"/>
    <mergeCell ref="D17:F17"/>
    <mergeCell ref="D18:F18"/>
    <mergeCell ref="D20:F20"/>
    <mergeCell ref="D19:F19"/>
    <mergeCell ref="I19:J19"/>
    <mergeCell ref="I18:J18"/>
    <mergeCell ref="D24:F24"/>
    <mergeCell ref="I20:J20"/>
    <mergeCell ref="D21:F21"/>
    <mergeCell ref="I21:J21"/>
    <mergeCell ref="I22:J22"/>
    <mergeCell ref="J44:K44"/>
    <mergeCell ref="J40:K40"/>
    <mergeCell ref="J42:K42"/>
    <mergeCell ref="I37:J37"/>
    <mergeCell ref="I36:J36"/>
    <mergeCell ref="D32:F32"/>
    <mergeCell ref="I32:J32"/>
    <mergeCell ref="I30:J30"/>
    <mergeCell ref="I31:J31"/>
    <mergeCell ref="I29:J29"/>
    <mergeCell ref="D30:F30"/>
    <mergeCell ref="D31:F31"/>
    <mergeCell ref="D29:F29"/>
    <mergeCell ref="D37:F37"/>
    <mergeCell ref="D36:F3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22:F22"/>
    <mergeCell ref="I26:J26"/>
    <mergeCell ref="I27:J27"/>
    <mergeCell ref="I23:J23"/>
    <mergeCell ref="D23:F23"/>
    <mergeCell ref="I24:J24"/>
    <mergeCell ref="I25:J25"/>
    <mergeCell ref="D26:F26"/>
    <mergeCell ref="D27:F27"/>
  </mergeCells>
  <conditionalFormatting sqref="C35">
    <cfRule type="duplicateValues" dxfId="35" priority="1"/>
  </conditionalFormatting>
  <conditionalFormatting sqref="C36">
    <cfRule type="duplicateValues" dxfId="34" priority="2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C0DE4-2F53-4E1B-A8BC-EE02779E389D}">
  <sheetPr codeName="Sheet70">
    <tabColor rgb="FF7030A0"/>
    <pageSetUpPr fitToPage="1"/>
  </sheetPr>
  <dimension ref="B1:V41"/>
  <sheetViews>
    <sheetView topLeftCell="A26" zoomScaleNormal="100" workbookViewId="0">
      <selection activeCell="C26" sqref="C2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2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2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2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2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2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2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2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2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  <c r="N8" s="69" t="s">
        <v>609</v>
      </c>
    </row>
    <row r="9" spans="2:22" ht="19" thickBot="1" x14ac:dyDescent="0.5">
      <c r="B9" s="12"/>
    </row>
    <row r="10" spans="2:2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530</v>
      </c>
      <c r="J10" s="17" t="s">
        <v>26</v>
      </c>
      <c r="K10" s="455">
        <v>202307314</v>
      </c>
      <c r="L10" s="456"/>
    </row>
    <row r="11" spans="2:2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福利鲜果                                                   Blk 163  Bukit Merah Central                    #02-12 Singapore 150163</v>
      </c>
      <c r="G11" s="445"/>
      <c r="H11" s="446"/>
      <c r="J11" s="18" t="s">
        <v>9</v>
      </c>
      <c r="K11" s="460">
        <v>45122</v>
      </c>
      <c r="L11" s="461"/>
    </row>
    <row r="12" spans="2:2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2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2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2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22" ht="19" thickBot="1" x14ac:dyDescent="0.5">
      <c r="J16" s="45"/>
      <c r="N16" s="94" t="s">
        <v>342</v>
      </c>
      <c r="O16" s="94" t="s">
        <v>558</v>
      </c>
      <c r="P16" s="94"/>
      <c r="Q16" s="94"/>
      <c r="R16" s="94">
        <v>4</v>
      </c>
      <c r="S16" s="94" t="s">
        <v>385</v>
      </c>
      <c r="T16" s="94" t="s">
        <v>59</v>
      </c>
      <c r="U16" s="94"/>
      <c r="V16" s="94">
        <v>12</v>
      </c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833</v>
      </c>
      <c r="D18" s="430" t="str">
        <f>VLOOKUP(C18,'Sales Master'!B$3:D$316,2,0)</f>
        <v>Coconut Sugar Syrup 椰糖浆</v>
      </c>
      <c r="E18" s="430"/>
      <c r="F18" s="430"/>
      <c r="G18" s="45">
        <v>7</v>
      </c>
      <c r="H18" s="65" t="str">
        <f>VLOOKUP(C18,'Sales Master'!B$3:F$936,5,0)</f>
        <v>4L/ Btl支</v>
      </c>
      <c r="I18" s="431" t="str">
        <f>VLOOKUP(C18,'Sales Master'!B$3:E$936,4,0)</f>
        <v>DO!</v>
      </c>
      <c r="J18" s="431"/>
      <c r="K18" s="22">
        <v>15</v>
      </c>
      <c r="L18" s="71">
        <f>K18*G18</f>
        <v>105</v>
      </c>
      <c r="N18" s="247">
        <f>VLOOKUP(C18,'Sales Master'!$B$3:$FA$3051,156,0)</f>
        <v>8.89</v>
      </c>
      <c r="O18" s="247">
        <f>K18-N18</f>
        <v>6.1099999999999994</v>
      </c>
      <c r="P18" s="247">
        <f>O18*G18</f>
        <v>42.769999999999996</v>
      </c>
    </row>
    <row r="19" spans="2:16" ht="20.149999999999999" customHeight="1" x14ac:dyDescent="0.45">
      <c r="B19" s="21"/>
      <c r="C19" s="45"/>
      <c r="D19" s="549"/>
      <c r="E19" s="549"/>
      <c r="F19" s="549"/>
      <c r="G19" s="549"/>
      <c r="H19" s="549"/>
      <c r="I19" s="549"/>
      <c r="J19" s="549"/>
      <c r="K19" s="549"/>
      <c r="L19" s="98"/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6" ht="20.149999999999999" customHeight="1" x14ac:dyDescent="0.45">
      <c r="B21" s="21"/>
      <c r="C21" s="12" t="s">
        <v>1236</v>
      </c>
      <c r="D21" s="430"/>
      <c r="E21" s="430"/>
      <c r="F21" s="430"/>
      <c r="G21" s="45"/>
      <c r="H21" s="65"/>
      <c r="I21" s="431"/>
      <c r="J21" s="431"/>
      <c r="K21" s="22"/>
      <c r="L21" s="71"/>
    </row>
    <row r="22" spans="2:16" ht="20.149999999999999" customHeight="1" x14ac:dyDescent="0.45">
      <c r="B22" s="21"/>
      <c r="C22" s="69" t="s">
        <v>1363</v>
      </c>
      <c r="G22" s="45"/>
      <c r="H22" s="65"/>
      <c r="I22" s="206"/>
      <c r="J22" s="206"/>
      <c r="K22" s="22"/>
      <c r="L22" s="71"/>
    </row>
    <row r="23" spans="2:16" ht="20.149999999999999" customHeight="1" x14ac:dyDescent="0.45">
      <c r="B23" s="21"/>
      <c r="C23" s="69" t="s">
        <v>1364</v>
      </c>
      <c r="G23" s="45"/>
      <c r="H23" s="65"/>
      <c r="I23" s="431"/>
      <c r="J23" s="431"/>
      <c r="K23" s="22"/>
      <c r="L23" s="71"/>
    </row>
    <row r="24" spans="2:16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6" ht="20.149999999999999" customHeight="1" x14ac:dyDescent="0.45">
      <c r="B25" s="21"/>
      <c r="C25" s="172" t="s">
        <v>1724</v>
      </c>
      <c r="G25" s="45"/>
      <c r="H25" s="65"/>
      <c r="I25" s="431"/>
      <c r="J25" s="431"/>
      <c r="K25" s="22"/>
      <c r="L25" s="71"/>
    </row>
    <row r="26" spans="2:16" ht="20.149999999999999" customHeight="1" x14ac:dyDescent="0.45">
      <c r="B26" s="21"/>
      <c r="C26" s="338" t="s">
        <v>833</v>
      </c>
      <c r="D26" s="430" t="str">
        <f>VLOOKUP(C26,'Sales Master'!B$3:D$316,2,0)</f>
        <v>Coconut Sugar Syrup 椰糖浆</v>
      </c>
      <c r="E26" s="430"/>
      <c r="F26" s="430"/>
      <c r="G26" s="45">
        <v>1</v>
      </c>
      <c r="H26" s="65" t="str">
        <f>VLOOKUP(C26,'Sales Master'!B$3:F$936,5,0)</f>
        <v>4L/ Btl支</v>
      </c>
      <c r="I26" s="431" t="str">
        <f>VLOOKUP(C26,'Sales Master'!B$3:E$936,4,0)</f>
        <v>DO!</v>
      </c>
      <c r="J26" s="431"/>
      <c r="K26" s="22">
        <v>17</v>
      </c>
      <c r="L26" s="71"/>
    </row>
    <row r="27" spans="2:16" ht="20.149999999999999" customHeight="1" thickBot="1" x14ac:dyDescent="0.5">
      <c r="B27" s="24"/>
      <c r="C27" s="25"/>
      <c r="D27" s="473"/>
      <c r="E27" s="473"/>
      <c r="F27" s="473"/>
      <c r="G27" s="25"/>
      <c r="H27" s="66"/>
      <c r="I27" s="66"/>
      <c r="J27" s="66"/>
      <c r="K27" s="26"/>
      <c r="L27" s="27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474" t="s">
        <v>13</v>
      </c>
      <c r="K29" s="475"/>
      <c r="L29" s="30">
        <f>SUM(L18:L28)</f>
        <v>105</v>
      </c>
      <c r="M29" s="95">
        <f>SUM(P10:P27)-L30</f>
        <v>34.99222222222221</v>
      </c>
      <c r="N29" s="248">
        <f>M29/L29</f>
        <v>0.33325925925925914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110" t="s">
        <v>553</v>
      </c>
      <c r="K30" s="113">
        <v>6.54E-2</v>
      </c>
      <c r="L30" s="32">
        <f>L29-L31</f>
        <v>7.7777777777777857</v>
      </c>
    </row>
    <row r="31" spans="2:16" ht="20.149999999999999" customHeight="1" x14ac:dyDescent="0.45">
      <c r="B31" s="11" t="s">
        <v>18</v>
      </c>
      <c r="C31" s="10"/>
      <c r="D31" s="10"/>
      <c r="E31" s="10"/>
      <c r="F31" s="10"/>
      <c r="G31" s="10"/>
      <c r="H31" s="10"/>
      <c r="I31" s="10"/>
      <c r="J31" s="476" t="s">
        <v>555</v>
      </c>
      <c r="K31" s="477"/>
      <c r="L31" s="114">
        <f>L29/108*100</f>
        <v>97.222222222222214</v>
      </c>
    </row>
    <row r="32" spans="2:16" ht="20.149999999999999" customHeight="1" x14ac:dyDescent="0.45">
      <c r="B32" s="11" t="s">
        <v>22</v>
      </c>
      <c r="C32" s="10"/>
      <c r="D32" s="10"/>
      <c r="E32" s="10"/>
      <c r="F32" s="10"/>
      <c r="G32" s="10"/>
      <c r="H32" s="10"/>
      <c r="I32" s="10"/>
      <c r="J32" s="111" t="s">
        <v>554</v>
      </c>
      <c r="K32" s="112">
        <v>0.08</v>
      </c>
      <c r="L32" s="44">
        <f>L31*K32</f>
        <v>7.7777777777777777</v>
      </c>
    </row>
    <row r="33" spans="2:12" ht="20.149999999999999" customHeight="1" thickBot="1" x14ac:dyDescent="0.5">
      <c r="B33" s="11" t="s">
        <v>748</v>
      </c>
      <c r="C33" s="10"/>
      <c r="D33" s="10"/>
      <c r="E33" s="10"/>
      <c r="F33" s="10"/>
      <c r="G33" s="10"/>
      <c r="H33" s="10"/>
      <c r="I33" s="10"/>
      <c r="J33" s="478" t="s">
        <v>21</v>
      </c>
      <c r="K33" s="479"/>
      <c r="L33" s="33">
        <f>L31+L32</f>
        <v>104.99999999999999</v>
      </c>
    </row>
    <row r="34" spans="2:12" ht="20.149999999999999" customHeight="1" x14ac:dyDescent="0.45">
      <c r="B34" s="11" t="s">
        <v>23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83" t="s">
        <v>749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24</v>
      </c>
      <c r="J40" s="60" t="s">
        <v>25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K19"/>
    <mergeCell ref="I23:J23"/>
    <mergeCell ref="D24:F24"/>
    <mergeCell ref="I24:J24"/>
    <mergeCell ref="J31:K31"/>
    <mergeCell ref="D20:F20"/>
    <mergeCell ref="I20:J20"/>
    <mergeCell ref="D21:F21"/>
    <mergeCell ref="I21:J21"/>
    <mergeCell ref="J33:K33"/>
    <mergeCell ref="I25:J25"/>
    <mergeCell ref="D26:F26"/>
    <mergeCell ref="I26:J26"/>
    <mergeCell ref="D27:F27"/>
    <mergeCell ref="J29:K29"/>
  </mergeCells>
  <conditionalFormatting sqref="C25">
    <cfRule type="duplicateValues" dxfId="33" priority="1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D518B-BE45-4F83-A6CC-94AAB5B5F743}">
  <sheetPr codeName="Sheet101">
    <tabColor rgb="FF7030A0"/>
    <pageSetUpPr fitToPage="1"/>
  </sheetPr>
  <dimension ref="B1:P48"/>
  <sheetViews>
    <sheetView topLeftCell="A29" zoomScaleNormal="100" workbookViewId="0">
      <selection activeCell="B1" sqref="B1:L4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541</v>
      </c>
      <c r="J10" s="17" t="s">
        <v>26</v>
      </c>
      <c r="K10" s="455">
        <v>202310380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白丽美容插花学院                                   Blk 635, Ang Mo Kio #01-5113 Singapore</v>
      </c>
      <c r="G11" s="445"/>
      <c r="H11" s="446"/>
      <c r="J11" s="18" t="s">
        <v>9</v>
      </c>
      <c r="K11" s="460">
        <v>45216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862</v>
      </c>
      <c r="D18" s="487" t="str">
        <f>VLOOKUP(C18,'Sales Master'!$B$3:D$643,2,0)</f>
        <v>Fresh Soursop Seedless 红毛榴莲(无)</v>
      </c>
      <c r="E18" s="487"/>
      <c r="F18" s="487"/>
      <c r="G18" s="45">
        <v>5</v>
      </c>
      <c r="H18" s="206" t="str">
        <f>VLOOKUP(C18,'Sales Master'!B$3:F$936,5,0)</f>
        <v>Box/盒</v>
      </c>
      <c r="I18" s="432" t="str">
        <f>VLOOKUP(C18,'Sales Master'!B$3:E$936,4,0)</f>
        <v>DO!</v>
      </c>
      <c r="J18" s="432"/>
      <c r="K18" s="22">
        <f>VLOOKUP(C18,'Sales Master'!B$3:DR$527,121,0)</f>
        <v>9</v>
      </c>
      <c r="L18" s="71">
        <f>K18*G18</f>
        <v>45</v>
      </c>
      <c r="N18" s="247">
        <f>VLOOKUP(C18,'Sales Master'!$B$3:$FA$3051,156,0)</f>
        <v>5.13</v>
      </c>
      <c r="O18" s="247">
        <f>K18-N18</f>
        <v>3.87</v>
      </c>
      <c r="P18" s="247">
        <f>O18*G18</f>
        <v>19.350000000000001</v>
      </c>
    </row>
    <row r="19" spans="2:16" ht="20.149999999999999" customHeight="1" x14ac:dyDescent="0.45">
      <c r="B19" s="21"/>
      <c r="C19" s="338" t="s">
        <v>820</v>
      </c>
      <c r="D19" s="430" t="str">
        <f>VLOOKUP(C19,'Sales Master'!$B$3:D$643,2,0)</f>
        <v>Durian Puree 榴莲浆</v>
      </c>
      <c r="E19" s="430"/>
      <c r="F19" s="430"/>
      <c r="G19" s="45">
        <v>2</v>
      </c>
      <c r="H19" s="206" t="str">
        <f>VLOOKUP(C19,'Sales Master'!B$3:F$936,5,0)</f>
        <v>Box/盒</v>
      </c>
      <c r="I19" s="432" t="str">
        <f>VLOOKUP(C19,'Sales Master'!B$3:E$936,4,0)</f>
        <v>DO!</v>
      </c>
      <c r="J19" s="432"/>
      <c r="K19" s="22">
        <f>VLOOKUP(C19,'Sales Master'!B$3:DR$527,121,0)</f>
        <v>8</v>
      </c>
      <c r="L19" s="71">
        <f>K19*G19</f>
        <v>16</v>
      </c>
      <c r="N19" s="247">
        <f>VLOOKUP(C19,'Sales Master'!$B$3:$FA$3051,156,0)</f>
        <v>4.71</v>
      </c>
      <c r="O19" s="247">
        <f>K19-N19</f>
        <v>3.29</v>
      </c>
      <c r="P19" s="247">
        <f>O19*G19</f>
        <v>6.58</v>
      </c>
    </row>
    <row r="20" spans="2:16" ht="20.149999999999999" customHeight="1" x14ac:dyDescent="0.45">
      <c r="B20" s="21"/>
      <c r="C20" s="338" t="s">
        <v>863</v>
      </c>
      <c r="D20" s="430" t="str">
        <f>VLOOKUP(C20,'Sales Master'!$B$3:D$643,2,0)</f>
        <v>Chin Chow powder 仙草粉</v>
      </c>
      <c r="E20" s="430"/>
      <c r="F20" s="430"/>
      <c r="G20" s="45">
        <v>1</v>
      </c>
      <c r="H20" s="417" t="str">
        <f>VLOOKUP(C20,'Sales Master'!B$3:F$936,5,0)</f>
        <v>2 kgs (20 X 100GM)</v>
      </c>
      <c r="I20" s="432" t="str">
        <f>VLOOKUP(C20,'Sales Master'!B$3:E$936,4,0)</f>
        <v>-</v>
      </c>
      <c r="J20" s="432"/>
      <c r="K20" s="22">
        <f>VLOOKUP(C20,'Sales Master'!B$3:DR$527,121,0)</f>
        <v>30</v>
      </c>
      <c r="L20" s="71">
        <f>K20*G20</f>
        <v>30</v>
      </c>
      <c r="N20" s="247">
        <f>VLOOKUP(C20,'Sales Master'!$B$3:$FA$3051,156,0)</f>
        <v>18.600000000000001</v>
      </c>
      <c r="O20" s="247">
        <f>K20-N20</f>
        <v>11.399999999999999</v>
      </c>
      <c r="P20" s="247">
        <f>O20*G20</f>
        <v>11.399999999999999</v>
      </c>
    </row>
    <row r="21" spans="2:16" ht="20.149999999999999" customHeight="1" x14ac:dyDescent="0.45">
      <c r="B21" s="21"/>
      <c r="C21" s="338" t="s">
        <v>1080</v>
      </c>
      <c r="D21" s="430" t="str">
        <f>VLOOKUP(C21,'Sales Master'!$B$3:D$643,2,0)</f>
        <v>Fine Sugar 白糖</v>
      </c>
      <c r="E21" s="430"/>
      <c r="F21" s="430"/>
      <c r="G21" s="45">
        <v>1</v>
      </c>
      <c r="H21" s="206" t="str">
        <f>VLOOKUP(C21,'Sales Master'!B$3:F$936,5,0)</f>
        <v>25 KGS</v>
      </c>
      <c r="I21" s="432" t="str">
        <f>VLOOKUP(C21,'Sales Master'!B$3:E$936,4,0)</f>
        <v>MITR PHOL</v>
      </c>
      <c r="J21" s="432"/>
      <c r="K21" s="22">
        <f>VLOOKUP(C21,'Sales Master'!B$3:DR$527,121,0)</f>
        <v>34</v>
      </c>
      <c r="L21" s="71">
        <f>K21*G21</f>
        <v>34</v>
      </c>
      <c r="N21" s="247">
        <f>VLOOKUP(C21,'Sales Master'!$B$3:$FA$3051,156,0)</f>
        <v>26.784000000000002</v>
      </c>
      <c r="O21" s="247">
        <f>K21-N21</f>
        <v>7.2159999999999975</v>
      </c>
      <c r="P21" s="247">
        <f>O21*G21</f>
        <v>7.2159999999999975</v>
      </c>
    </row>
    <row r="22" spans="2:16" ht="20.149999999999999" customHeight="1" x14ac:dyDescent="0.45">
      <c r="B22" s="21"/>
      <c r="C22" s="69"/>
      <c r="G22" s="45"/>
      <c r="H22" s="65"/>
      <c r="I22" s="431"/>
      <c r="J22" s="431"/>
      <c r="K22" s="96"/>
      <c r="L22" s="71"/>
    </row>
    <row r="23" spans="2:16" ht="20.149999999999999" customHeight="1" x14ac:dyDescent="0.45">
      <c r="B23" s="70"/>
      <c r="C23" s="12" t="s">
        <v>1236</v>
      </c>
      <c r="G23" s="45"/>
      <c r="H23" s="65"/>
      <c r="I23" s="206"/>
      <c r="J23" s="206"/>
      <c r="K23" s="96"/>
      <c r="L23" s="98"/>
    </row>
    <row r="24" spans="2:16" ht="20.149999999999999" customHeight="1" x14ac:dyDescent="0.45">
      <c r="B24" s="70"/>
      <c r="C24" s="69" t="s">
        <v>1363</v>
      </c>
      <c r="G24" s="45"/>
      <c r="H24" s="65"/>
      <c r="I24" s="206"/>
      <c r="J24" s="206"/>
      <c r="K24" s="96"/>
      <c r="L24" s="98"/>
    </row>
    <row r="25" spans="2:16" ht="20.149999999999999" customHeight="1" x14ac:dyDescent="0.45">
      <c r="B25" s="70"/>
      <c r="C25" s="69" t="s">
        <v>1364</v>
      </c>
      <c r="D25" s="69"/>
      <c r="E25" s="69"/>
      <c r="F25" s="69"/>
      <c r="G25" s="45"/>
      <c r="H25" s="65"/>
      <c r="I25" s="65"/>
      <c r="J25" s="65"/>
      <c r="K25" s="22"/>
      <c r="L25" s="98"/>
    </row>
    <row r="26" spans="2:16" ht="20.149999999999999" customHeight="1" x14ac:dyDescent="0.45">
      <c r="B26" s="70"/>
      <c r="C26" s="275"/>
      <c r="G26" s="99"/>
      <c r="H26" s="65"/>
      <c r="I26" s="65"/>
      <c r="J26" s="65"/>
      <c r="K26" s="96"/>
      <c r="L26" s="98"/>
    </row>
    <row r="27" spans="2:16" ht="20.149999999999999" customHeight="1" x14ac:dyDescent="0.45">
      <c r="B27" s="70"/>
      <c r="C27" s="45"/>
      <c r="D27" s="440"/>
      <c r="E27" s="440"/>
      <c r="F27" s="440"/>
      <c r="G27" s="99"/>
      <c r="H27" s="65"/>
      <c r="I27" s="431"/>
      <c r="J27" s="431"/>
      <c r="K27" s="96"/>
      <c r="L27" s="98"/>
    </row>
    <row r="28" spans="2:16" ht="20.149999999999999" customHeight="1" x14ac:dyDescent="0.45">
      <c r="B28" s="70"/>
      <c r="C28" s="172" t="s">
        <v>1501</v>
      </c>
      <c r="G28" s="233"/>
      <c r="H28" s="65"/>
      <c r="I28" s="65"/>
      <c r="J28" s="65"/>
      <c r="K28" s="22"/>
      <c r="L28" s="98"/>
    </row>
    <row r="29" spans="2:16" ht="20.149999999999999" customHeight="1" x14ac:dyDescent="0.45">
      <c r="B29" s="70"/>
      <c r="C29" s="338" t="s">
        <v>1080</v>
      </c>
      <c r="D29" s="440" t="str">
        <f>VLOOKUP(C29,'Sales Master'!B$3:D$702,2,0)</f>
        <v>Fine Sugar 白糖</v>
      </c>
      <c r="E29" s="440"/>
      <c r="F29" s="440"/>
      <c r="G29" s="233">
        <v>1</v>
      </c>
      <c r="H29" s="65" t="str">
        <f>VLOOKUP(C29,'Sales Master'!B$3:F$936,5,0)</f>
        <v>25 KGS</v>
      </c>
      <c r="I29" s="431" t="str">
        <f>VLOOKUP(C29,'Sales Master'!B$3:E$936,4,0)</f>
        <v>MITR PHOL</v>
      </c>
      <c r="J29" s="431"/>
      <c r="K29" s="22">
        <v>34</v>
      </c>
      <c r="L29" s="98"/>
    </row>
    <row r="30" spans="2:16" ht="20.149999999999999" customHeight="1" x14ac:dyDescent="0.45">
      <c r="B30" s="70"/>
      <c r="C30" s="140"/>
      <c r="G30" s="233"/>
      <c r="H30" s="65"/>
      <c r="I30" s="65"/>
      <c r="J30" s="65"/>
      <c r="K30" s="22"/>
      <c r="L30" s="98"/>
    </row>
    <row r="31" spans="2:16" ht="20.149999999999999" customHeight="1" x14ac:dyDescent="0.45">
      <c r="B31" s="70"/>
      <c r="C31" s="45"/>
      <c r="D31" s="430"/>
      <c r="E31" s="430"/>
      <c r="F31" s="430"/>
      <c r="G31" s="233"/>
      <c r="H31" s="65"/>
      <c r="I31" s="431"/>
      <c r="J31" s="431"/>
      <c r="K31" s="22"/>
      <c r="L31" s="71"/>
    </row>
    <row r="32" spans="2:16" ht="20.149999999999999" customHeight="1" x14ac:dyDescent="0.45">
      <c r="B32" s="70"/>
      <c r="L32" s="71"/>
    </row>
    <row r="33" spans="2:13" ht="20.149999999999999" customHeight="1" x14ac:dyDescent="0.45">
      <c r="B33" s="70"/>
      <c r="L33" s="71"/>
    </row>
    <row r="34" spans="2:13" ht="20.149999999999999" customHeight="1" thickBot="1" x14ac:dyDescent="0.5">
      <c r="B34" s="24"/>
      <c r="C34" s="25"/>
      <c r="D34" s="473"/>
      <c r="E34" s="473"/>
      <c r="F34" s="473"/>
      <c r="G34" s="25"/>
      <c r="H34" s="66"/>
      <c r="I34" s="66"/>
      <c r="J34" s="66"/>
      <c r="K34" s="26"/>
      <c r="L34" s="27"/>
    </row>
    <row r="35" spans="2:13" ht="20.149999999999999" customHeight="1" thickBot="1" x14ac:dyDescent="0.5">
      <c r="B35" s="28"/>
      <c r="L35" s="29"/>
    </row>
    <row r="36" spans="2:13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474" t="s">
        <v>13</v>
      </c>
      <c r="K36" s="475"/>
      <c r="L36" s="30">
        <f>SUM(L18:L35)</f>
        <v>125</v>
      </c>
      <c r="M36" s="95">
        <f>SUM(P6:P33)-(L39*0.02)</f>
        <v>44.360814814814809</v>
      </c>
    </row>
    <row r="37" spans="2:13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0" t="s">
        <v>553</v>
      </c>
      <c r="K37" s="113">
        <v>6.54E-2</v>
      </c>
      <c r="L37" s="32">
        <f>L36-L38</f>
        <v>9.2592592592592524</v>
      </c>
    </row>
    <row r="38" spans="2:13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476" t="s">
        <v>555</v>
      </c>
      <c r="K38" s="477"/>
      <c r="L38" s="114">
        <f>L36/108*100</f>
        <v>115.74074074074075</v>
      </c>
    </row>
    <row r="39" spans="2:13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1" t="s">
        <v>554</v>
      </c>
      <c r="K39" s="112">
        <v>0.08</v>
      </c>
      <c r="L39" s="44">
        <f>L38*K39</f>
        <v>9.2592592592592595</v>
      </c>
    </row>
    <row r="40" spans="2:13" ht="20.149999999999999" customHeight="1" thickBot="1" x14ac:dyDescent="0.5">
      <c r="B40" s="11" t="s">
        <v>748</v>
      </c>
      <c r="C40" s="10"/>
      <c r="D40" s="10"/>
      <c r="E40" s="10"/>
      <c r="F40" s="10"/>
      <c r="G40" s="10"/>
      <c r="H40" s="10"/>
      <c r="I40" s="10"/>
      <c r="J40" s="478" t="s">
        <v>21</v>
      </c>
      <c r="K40" s="479"/>
      <c r="L40" s="33">
        <f>L38+L39</f>
        <v>125</v>
      </c>
    </row>
    <row r="41" spans="2:13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3" ht="20.149999999999999" customHeight="1" x14ac:dyDescent="0.45">
      <c r="B42" s="183" t="s">
        <v>749</v>
      </c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28"/>
      <c r="L44" s="29"/>
    </row>
    <row r="45" spans="2:13" ht="20.149999999999999" customHeight="1" x14ac:dyDescent="0.45">
      <c r="B45" s="28"/>
      <c r="L45" s="29"/>
    </row>
    <row r="46" spans="2:13" ht="20.149999999999999" customHeight="1" x14ac:dyDescent="0.45">
      <c r="B46" s="34"/>
      <c r="C46" s="35"/>
      <c r="D46" s="35"/>
      <c r="J46" s="35"/>
      <c r="K46" s="35"/>
      <c r="L46" s="36"/>
    </row>
    <row r="47" spans="2:13" ht="20.149999999999999" customHeight="1" x14ac:dyDescent="0.45">
      <c r="B47" s="28" t="s">
        <v>24</v>
      </c>
      <c r="J47" s="60" t="s">
        <v>25</v>
      </c>
      <c r="L47" s="29"/>
    </row>
    <row r="48" spans="2:13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34"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9:F29"/>
    <mergeCell ref="I29:J29"/>
    <mergeCell ref="D27:F27"/>
    <mergeCell ref="I27:J27"/>
    <mergeCell ref="D31:F31"/>
    <mergeCell ref="B1:L8"/>
    <mergeCell ref="J40:K40"/>
    <mergeCell ref="D34:F34"/>
    <mergeCell ref="J36:K36"/>
    <mergeCell ref="J38:K38"/>
    <mergeCell ref="I31:J31"/>
    <mergeCell ref="D20:F20"/>
    <mergeCell ref="I20:J20"/>
    <mergeCell ref="D21:F21"/>
    <mergeCell ref="I21:J21"/>
    <mergeCell ref="I22:J22"/>
    <mergeCell ref="D17:F17"/>
    <mergeCell ref="D18:F18"/>
    <mergeCell ref="I18:J18"/>
    <mergeCell ref="D19:F19"/>
    <mergeCell ref="I19:J19"/>
  </mergeCells>
  <conditionalFormatting sqref="C28 C30:C31">
    <cfRule type="duplicateValues" dxfId="32" priority="130"/>
  </conditionalFormatting>
  <conditionalFormatting sqref="C31">
    <cfRule type="duplicateValues" dxfId="31" priority="129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372D2-2B53-4963-88FB-78FBC755AA88}">
  <sheetPr codeName="Sheet100">
    <tabColor rgb="FF7030A0"/>
    <pageSetUpPr fitToPage="1"/>
  </sheetPr>
  <dimension ref="B1:V40"/>
  <sheetViews>
    <sheetView topLeftCell="B18" zoomScaleNormal="100" workbookViewId="0">
      <selection activeCell="K12" sqref="K12:L1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5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5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5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5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5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5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5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5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5" ht="19" thickBot="1" x14ac:dyDescent="0.5">
      <c r="B9" s="12"/>
    </row>
    <row r="10" spans="2:15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429</v>
      </c>
      <c r="J10" s="17" t="s">
        <v>26</v>
      </c>
      <c r="K10" s="455">
        <v>202309568</v>
      </c>
      <c r="L10" s="456"/>
    </row>
    <row r="11" spans="2:15" ht="20.149999999999999" customHeight="1" x14ac:dyDescent="0.45">
      <c r="B11" s="480" t="s">
        <v>628</v>
      </c>
      <c r="C11" s="481"/>
      <c r="D11" s="482"/>
      <c r="E11" s="61"/>
      <c r="F11" s="444" t="str">
        <f>VLOOKUP(H10,'Delivery Location'!A$4:N$423,2,0)</f>
        <v>麵包店                                                    Blk 548, Woodlands Dr 44 #01-26 Singapore 730548</v>
      </c>
      <c r="G11" s="445"/>
      <c r="H11" s="446"/>
      <c r="J11" s="18" t="s">
        <v>9</v>
      </c>
      <c r="K11" s="460">
        <v>45192</v>
      </c>
      <c r="L11" s="461"/>
    </row>
    <row r="12" spans="2:15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5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377</v>
      </c>
      <c r="L13" s="466"/>
      <c r="N13" s="60" t="s">
        <v>1080</v>
      </c>
      <c r="O13" s="60">
        <v>24</v>
      </c>
    </row>
    <row r="14" spans="2:15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  <c r="N14" s="60" t="s">
        <v>833</v>
      </c>
      <c r="O14" s="182">
        <v>13</v>
      </c>
    </row>
    <row r="15" spans="2:15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5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20.149999999999999" customHeight="1" x14ac:dyDescent="0.45">
      <c r="B18" s="21"/>
      <c r="C18" s="338" t="s">
        <v>833</v>
      </c>
      <c r="D18" s="430" t="str">
        <f>VLOOKUP(C18,'Sales Master'!B$3:D$617,2,0)</f>
        <v>Coconut Sugar Syrup 椰糖浆</v>
      </c>
      <c r="E18" s="430"/>
      <c r="F18" s="430"/>
      <c r="G18" s="45">
        <v>5</v>
      </c>
      <c r="H18" s="241" t="str">
        <f>VLOOKUP(C18,'Sales Master'!B$3:F$936,5,0)</f>
        <v>4L/ Btl支</v>
      </c>
      <c r="I18" s="432" t="str">
        <f>VLOOKUP(C18,'Sales Master'!B$3:E$936,4,0)</f>
        <v>DO!</v>
      </c>
      <c r="J18" s="432"/>
      <c r="K18" s="22">
        <f>VLOOKUP(C18,'Sales Master'!B$3:BN$527,65,0)</f>
        <v>15</v>
      </c>
      <c r="L18" s="71">
        <f>K18*G18</f>
        <v>75</v>
      </c>
      <c r="N18" s="247">
        <f>VLOOKUP(C18,'Sales Master'!$B$3:$FA$3051,156,0)</f>
        <v>8.89</v>
      </c>
      <c r="O18" s="247">
        <f>K18-N18</f>
        <v>6.1099999999999994</v>
      </c>
      <c r="P18" s="247">
        <f>O18*G18</f>
        <v>30.549999999999997</v>
      </c>
      <c r="V18" s="60">
        <v>6</v>
      </c>
    </row>
    <row r="19" spans="2:22" ht="20.149999999999999" customHeight="1" x14ac:dyDescent="0.45">
      <c r="B19" s="21"/>
      <c r="C19" s="45"/>
      <c r="D19" s="430"/>
      <c r="E19" s="430"/>
      <c r="F19" s="430"/>
      <c r="G19" s="45"/>
      <c r="H19" s="241"/>
      <c r="I19" s="432"/>
      <c r="J19" s="432"/>
      <c r="K19" s="22"/>
      <c r="L19" s="71"/>
      <c r="N19" s="247"/>
      <c r="O19" s="247"/>
      <c r="P19" s="247"/>
      <c r="V19" s="60">
        <v>6.5</v>
      </c>
    </row>
    <row r="20" spans="2:22" ht="20.149999999999999" customHeight="1" x14ac:dyDescent="0.45">
      <c r="B20" s="21"/>
      <c r="C20" s="45"/>
      <c r="D20" s="430"/>
      <c r="E20" s="430"/>
      <c r="F20" s="430"/>
      <c r="G20" s="45"/>
      <c r="H20" s="65"/>
      <c r="I20" s="432"/>
      <c r="J20" s="432"/>
      <c r="K20" s="22"/>
      <c r="L20" s="71"/>
      <c r="V20" s="60">
        <v>14</v>
      </c>
    </row>
    <row r="21" spans="2:22" ht="20.149999999999999" customHeight="1" x14ac:dyDescent="0.45">
      <c r="B21" s="21"/>
      <c r="C21" s="45"/>
      <c r="D21" s="430"/>
      <c r="E21" s="430"/>
      <c r="F21" s="430"/>
      <c r="G21" s="45"/>
      <c r="H21" s="65"/>
      <c r="I21" s="432"/>
      <c r="J21" s="432"/>
      <c r="K21" s="96"/>
      <c r="L21" s="71"/>
    </row>
    <row r="22" spans="2:22" ht="20.149999999999999" customHeight="1" x14ac:dyDescent="0.45">
      <c r="B22" s="21"/>
      <c r="C22" s="45"/>
      <c r="D22" s="69"/>
      <c r="E22" s="69"/>
      <c r="F22" s="69"/>
      <c r="G22" s="45"/>
      <c r="H22" s="65"/>
      <c r="I22" s="322"/>
      <c r="J22" s="322"/>
      <c r="K22" s="22"/>
      <c r="L22" s="71"/>
    </row>
    <row r="23" spans="2:22" ht="20.149999999999999" customHeight="1" x14ac:dyDescent="0.45">
      <c r="B23" s="21"/>
      <c r="C23" s="172" t="s">
        <v>627</v>
      </c>
      <c r="G23" s="45"/>
      <c r="H23" s="65"/>
      <c r="I23" s="432"/>
      <c r="J23" s="432"/>
      <c r="K23" s="22"/>
      <c r="L23" s="71"/>
    </row>
    <row r="24" spans="2:22" ht="20.149999999999999" customHeight="1" x14ac:dyDescent="0.45">
      <c r="B24" s="21"/>
      <c r="C24" s="338" t="s">
        <v>833</v>
      </c>
      <c r="D24" s="430" t="str">
        <f>VLOOKUP(C24,'Sales Master'!B$3:D$617,2,0)</f>
        <v>Coconut Sugar Syrup 椰糖浆</v>
      </c>
      <c r="E24" s="430"/>
      <c r="F24" s="430"/>
      <c r="G24" s="45">
        <v>1</v>
      </c>
      <c r="H24" s="241" t="str">
        <f>VLOOKUP(C24,'Sales Master'!B$3:F$936,5,0)</f>
        <v>4L/ Btl支</v>
      </c>
      <c r="I24" s="432" t="str">
        <f>VLOOKUP(C24,'Sales Master'!B$3:E$936,4,0)</f>
        <v>DO!</v>
      </c>
      <c r="J24" s="432"/>
      <c r="K24" s="22">
        <v>15</v>
      </c>
      <c r="L24" s="23"/>
    </row>
    <row r="25" spans="2:22" ht="20.149999999999999" customHeight="1" x14ac:dyDescent="0.45">
      <c r="B25" s="21"/>
      <c r="C25" s="338"/>
      <c r="D25" s="430"/>
      <c r="E25" s="430"/>
      <c r="F25" s="430"/>
      <c r="G25" s="45"/>
      <c r="H25" s="241"/>
      <c r="I25" s="432"/>
      <c r="J25" s="432"/>
      <c r="K25" s="22"/>
      <c r="L25" s="23"/>
    </row>
    <row r="26" spans="2:22" ht="20.149999999999999" customHeight="1" thickBot="1" x14ac:dyDescent="0.5">
      <c r="B26" s="24"/>
      <c r="C26" s="25"/>
      <c r="D26" s="473"/>
      <c r="E26" s="473"/>
      <c r="F26" s="473"/>
      <c r="G26" s="25"/>
      <c r="H26" s="66"/>
      <c r="I26" s="66"/>
      <c r="J26" s="66"/>
      <c r="K26" s="26"/>
      <c r="L26" s="27"/>
    </row>
    <row r="27" spans="2:22" ht="20.149999999999999" customHeight="1" thickBot="1" x14ac:dyDescent="0.5">
      <c r="B27" s="28"/>
      <c r="L27" s="29"/>
    </row>
    <row r="28" spans="2:22" ht="20.149999999999999" customHeight="1" x14ac:dyDescent="0.45">
      <c r="B28" s="11" t="s">
        <v>16</v>
      </c>
      <c r="C28" s="10"/>
      <c r="D28" s="10"/>
      <c r="E28" s="10"/>
      <c r="F28" s="10"/>
      <c r="G28" s="10"/>
      <c r="H28" s="10"/>
      <c r="I28" s="10"/>
      <c r="J28" s="474" t="s">
        <v>13</v>
      </c>
      <c r="K28" s="475"/>
      <c r="L28" s="30">
        <f>SUM(L15:L27)</f>
        <v>75</v>
      </c>
      <c r="M28" s="95">
        <f>SUM(P8:P26)-L28*0.02</f>
        <v>29.049999999999997</v>
      </c>
      <c r="N28" s="248">
        <f>M28/L28</f>
        <v>0.38733333333333331</v>
      </c>
    </row>
    <row r="29" spans="2:22" ht="20.149999999999999" customHeight="1" x14ac:dyDescent="0.45">
      <c r="B29" s="11" t="s">
        <v>17</v>
      </c>
      <c r="C29" s="10"/>
      <c r="D29" s="10"/>
      <c r="E29" s="10"/>
      <c r="F29" s="10"/>
      <c r="G29" s="10"/>
      <c r="H29" s="10"/>
      <c r="I29" s="10"/>
      <c r="J29" s="110" t="s">
        <v>553</v>
      </c>
      <c r="K29" s="113">
        <v>6.54E-2</v>
      </c>
      <c r="L29" s="32">
        <f>L31</f>
        <v>5.5555555555555554</v>
      </c>
    </row>
    <row r="30" spans="2:22" ht="20.149999999999999" customHeight="1" x14ac:dyDescent="0.45">
      <c r="B30" s="11" t="s">
        <v>18</v>
      </c>
      <c r="C30" s="10"/>
      <c r="D30" s="10"/>
      <c r="E30" s="10"/>
      <c r="F30" s="10"/>
      <c r="G30" s="10"/>
      <c r="H30" s="10"/>
      <c r="I30" s="10"/>
      <c r="J30" s="476" t="s">
        <v>555</v>
      </c>
      <c r="K30" s="477"/>
      <c r="L30" s="114">
        <f>L28/108*100</f>
        <v>69.444444444444443</v>
      </c>
    </row>
    <row r="31" spans="2:22" ht="20.149999999999999" customHeight="1" x14ac:dyDescent="0.45">
      <c r="B31" s="11" t="s">
        <v>22</v>
      </c>
      <c r="C31" s="10"/>
      <c r="D31" s="10"/>
      <c r="E31" s="10"/>
      <c r="F31" s="10"/>
      <c r="G31" s="10"/>
      <c r="H31" s="10"/>
      <c r="I31" s="10"/>
      <c r="J31" s="111" t="s">
        <v>554</v>
      </c>
      <c r="K31" s="112">
        <v>0.08</v>
      </c>
      <c r="L31" s="44">
        <f>L30*K31</f>
        <v>5.5555555555555554</v>
      </c>
    </row>
    <row r="32" spans="2:22" ht="20.149999999999999" customHeight="1" thickBot="1" x14ac:dyDescent="0.5">
      <c r="B32" s="11" t="s">
        <v>748</v>
      </c>
      <c r="C32" s="10"/>
      <c r="D32" s="10"/>
      <c r="E32" s="10"/>
      <c r="F32" s="10"/>
      <c r="G32" s="10"/>
      <c r="H32" s="10"/>
      <c r="I32" s="10"/>
      <c r="J32" s="478" t="s">
        <v>21</v>
      </c>
      <c r="K32" s="479"/>
      <c r="L32" s="33">
        <f>L30+L31</f>
        <v>75</v>
      </c>
    </row>
    <row r="33" spans="2:12" ht="20.149999999999999" customHeight="1" x14ac:dyDescent="0.45">
      <c r="B33" s="11" t="s">
        <v>23</v>
      </c>
      <c r="C33" s="10"/>
      <c r="D33" s="10"/>
      <c r="E33" s="10"/>
      <c r="F33" s="10"/>
      <c r="G33" s="10"/>
      <c r="H33" s="10"/>
      <c r="I33" s="10"/>
      <c r="K33" s="243"/>
      <c r="L33" s="244"/>
    </row>
    <row r="34" spans="2:12" ht="20.149999999999999" customHeight="1" x14ac:dyDescent="0.45">
      <c r="B34" s="183" t="s">
        <v>749</v>
      </c>
      <c r="L34" s="244"/>
    </row>
    <row r="35" spans="2:12" ht="20.149999999999999" customHeight="1" x14ac:dyDescent="0.45">
      <c r="B35" s="28"/>
      <c r="L35" s="244"/>
    </row>
    <row r="36" spans="2:12" ht="20.149999999999999" customHeight="1" x14ac:dyDescent="0.45">
      <c r="B36" s="28"/>
      <c r="L36" s="244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34"/>
      <c r="C38" s="35"/>
      <c r="D38" s="35"/>
      <c r="J38" s="35"/>
      <c r="K38" s="35"/>
      <c r="L38" s="36"/>
    </row>
    <row r="39" spans="2:12" ht="20.149999999999999" customHeight="1" x14ac:dyDescent="0.45">
      <c r="B39" s="28" t="s">
        <v>24</v>
      </c>
      <c r="J39" s="60" t="s">
        <v>25</v>
      </c>
      <c r="L39" s="29"/>
    </row>
    <row r="40" spans="2:12" ht="19" thickBot="1" x14ac:dyDescent="0.5">
      <c r="B40" s="37"/>
      <c r="C40" s="62"/>
      <c r="D40" s="62"/>
      <c r="E40" s="62"/>
      <c r="F40" s="62"/>
      <c r="G40" s="62"/>
      <c r="H40" s="62"/>
      <c r="I40" s="62"/>
      <c r="J40" s="62"/>
      <c r="K40" s="62"/>
      <c r="L40" s="38"/>
    </row>
  </sheetData>
  <mergeCells count="32">
    <mergeCell ref="D25:F25"/>
    <mergeCell ref="I25:J25"/>
    <mergeCell ref="D17:F17"/>
    <mergeCell ref="I17:J17"/>
    <mergeCell ref="I18:J18"/>
    <mergeCell ref="B14:D14"/>
    <mergeCell ref="D19:F19"/>
    <mergeCell ref="I19:J19"/>
    <mergeCell ref="D18:F18"/>
    <mergeCell ref="K11:L11"/>
    <mergeCell ref="B12:D12"/>
    <mergeCell ref="K12:L12"/>
    <mergeCell ref="K14:L14"/>
    <mergeCell ref="B15:D15"/>
    <mergeCell ref="K15:L15"/>
    <mergeCell ref="B13:D13"/>
    <mergeCell ref="B1:L8"/>
    <mergeCell ref="J32:K32"/>
    <mergeCell ref="D21:F21"/>
    <mergeCell ref="I21:J21"/>
    <mergeCell ref="I23:J23"/>
    <mergeCell ref="D24:F24"/>
    <mergeCell ref="D26:F26"/>
    <mergeCell ref="J28:K28"/>
    <mergeCell ref="J30:K30"/>
    <mergeCell ref="D20:F20"/>
    <mergeCell ref="I20:J20"/>
    <mergeCell ref="I24:J24"/>
    <mergeCell ref="K10:L10"/>
    <mergeCell ref="B11:D11"/>
    <mergeCell ref="K13:L13"/>
    <mergeCell ref="F11:H1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08B5F1-8893-4E92-BCFA-0440BCB840F3}">
  <sheetPr codeName="Sheet22">
    <tabColor rgb="FF7030A0"/>
    <pageSetUpPr fitToPage="1"/>
  </sheetPr>
  <dimension ref="B1:P42"/>
  <sheetViews>
    <sheetView topLeftCell="A23" zoomScaleNormal="100" workbookViewId="0">
      <selection activeCell="J34" sqref="J34:K34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1188</v>
      </c>
      <c r="J10" s="17" t="s">
        <v>26</v>
      </c>
      <c r="K10" s="455">
        <v>202208069</v>
      </c>
      <c r="L10" s="456"/>
    </row>
    <row r="11" spans="2:12" ht="20.149999999999999" customHeight="1" x14ac:dyDescent="0.45">
      <c r="B11" s="480" t="s">
        <v>1190</v>
      </c>
      <c r="C11" s="481"/>
      <c r="D11" s="482"/>
      <c r="E11" s="61"/>
      <c r="F11" s="444" t="str">
        <f>VLOOKUP(H10,'Delivery Location'!A$4:N$423,2,0)</f>
        <v>麵包店                                                    Block 628 Senja Road  44 #01-03  Singapore 673528</v>
      </c>
      <c r="G11" s="445"/>
      <c r="H11" s="446"/>
      <c r="J11" s="18" t="s">
        <v>9</v>
      </c>
      <c r="K11" s="502">
        <v>44776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377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833</v>
      </c>
      <c r="D18" s="430" t="str">
        <f>VLOOKUP(C18,'Sales Master'!B$3:D$617,2,0)</f>
        <v>Coconut Sugar Syrup 椰糖浆</v>
      </c>
      <c r="E18" s="430"/>
      <c r="F18" s="430"/>
      <c r="G18" s="45">
        <v>8</v>
      </c>
      <c r="H18" s="241" t="str">
        <f>VLOOKUP(C18,'Sales Master'!B$3:F$936,5,0)</f>
        <v>4L/ Btl支</v>
      </c>
      <c r="I18" s="432" t="str">
        <f>VLOOKUP(C18,'Sales Master'!B$3:E$936,4,0)</f>
        <v>DO!</v>
      </c>
      <c r="J18" s="432"/>
      <c r="K18" s="22">
        <v>15</v>
      </c>
      <c r="L18" s="71">
        <f>K18*G18</f>
        <v>120</v>
      </c>
      <c r="N18" s="247">
        <f>VLOOKUP(C18,'Sales Master'!$B$3:$FA$3051,156,0)</f>
        <v>8.89</v>
      </c>
      <c r="O18" s="247">
        <f>K18-N18</f>
        <v>6.1099999999999994</v>
      </c>
      <c r="P18" s="247">
        <f>O18*G18</f>
        <v>48.879999999999995</v>
      </c>
    </row>
    <row r="19" spans="2:16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6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6" ht="20.149999999999999" customHeight="1" x14ac:dyDescent="0.45">
      <c r="B22" s="70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6" ht="20.149999999999999" customHeight="1" x14ac:dyDescent="0.45">
      <c r="B23" s="70"/>
      <c r="C23" s="140"/>
      <c r="G23" s="45"/>
      <c r="H23" s="65"/>
      <c r="I23" s="431"/>
      <c r="J23" s="431"/>
      <c r="K23" s="96"/>
      <c r="L23" s="98"/>
    </row>
    <row r="24" spans="2:16" ht="20.149999999999999" customHeight="1" x14ac:dyDescent="0.45">
      <c r="B24" s="70"/>
      <c r="C24" s="45"/>
      <c r="D24" s="430"/>
      <c r="E24" s="430"/>
      <c r="F24" s="430"/>
      <c r="G24" s="45"/>
      <c r="H24" s="65"/>
      <c r="I24" s="431"/>
      <c r="J24" s="431"/>
      <c r="K24" s="96"/>
      <c r="L24" s="98"/>
    </row>
    <row r="25" spans="2:16" ht="20.149999999999999" customHeight="1" x14ac:dyDescent="0.45">
      <c r="B25" s="70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6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6" ht="20.149999999999999" customHeight="1" x14ac:dyDescent="0.45">
      <c r="B27" s="21"/>
      <c r="C27" s="45"/>
      <c r="D27" s="503"/>
      <c r="E27" s="503"/>
      <c r="F27" s="503"/>
      <c r="G27" s="45"/>
      <c r="H27" s="65"/>
      <c r="I27" s="65"/>
      <c r="J27" s="65"/>
      <c r="K27" s="22"/>
      <c r="L27" s="23"/>
    </row>
    <row r="28" spans="2:16" ht="20.149999999999999" customHeight="1" thickBot="1" x14ac:dyDescent="0.5">
      <c r="B28" s="24"/>
      <c r="C28" s="25"/>
      <c r="D28" s="473"/>
      <c r="E28" s="473"/>
      <c r="F28" s="473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474" t="s">
        <v>13</v>
      </c>
      <c r="K30" s="475"/>
      <c r="L30" s="30">
        <f>SUM(L15:L29)</f>
        <v>120</v>
      </c>
      <c r="M30" s="95">
        <f>SUM(P13:P28)-L31</f>
        <v>39.99111111111111</v>
      </c>
      <c r="N30" s="248">
        <f>M30/L30</f>
        <v>0.33325925925925926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0" t="s">
        <v>553</v>
      </c>
      <c r="K31" s="113">
        <v>6.54E-2</v>
      </c>
      <c r="L31" s="32">
        <f>L33</f>
        <v>8.8888888888888893</v>
      </c>
    </row>
    <row r="32" spans="2:16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476" t="s">
        <v>555</v>
      </c>
      <c r="K32" s="477"/>
      <c r="L32" s="114">
        <f>L30/108*100</f>
        <v>111.11111111111111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1" t="s">
        <v>554</v>
      </c>
      <c r="K33" s="112">
        <v>0.08</v>
      </c>
      <c r="L33" s="44">
        <f>L32*K33</f>
        <v>8.8888888888888893</v>
      </c>
    </row>
    <row r="34" spans="2:12" ht="20.149999999999999" customHeight="1" thickBot="1" x14ac:dyDescent="0.5">
      <c r="B34" s="11" t="s">
        <v>748</v>
      </c>
      <c r="C34" s="10"/>
      <c r="D34" s="10"/>
      <c r="E34" s="10"/>
      <c r="F34" s="10"/>
      <c r="G34" s="10"/>
      <c r="H34" s="10"/>
      <c r="I34" s="10"/>
      <c r="J34" s="478" t="s">
        <v>21</v>
      </c>
      <c r="K34" s="479"/>
      <c r="L34" s="33">
        <f>L32+L33</f>
        <v>120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83" t="s">
        <v>749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7">
    <mergeCell ref="K15:L15"/>
    <mergeCell ref="I17:J17"/>
    <mergeCell ref="I23:J23"/>
    <mergeCell ref="D24:F24"/>
    <mergeCell ref="I24:J24"/>
    <mergeCell ref="D17:F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6:F26"/>
    <mergeCell ref="I26:J26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J30:K30"/>
    <mergeCell ref="J32:K32"/>
    <mergeCell ref="J34:K34"/>
    <mergeCell ref="D27:F27"/>
    <mergeCell ref="D28:F28"/>
  </mergeCells>
  <pageMargins left="0.70866141732283472" right="0.31496062992125984" top="0.55118110236220474" bottom="0" header="0.31496062992125984" footer="0.31496062992125984"/>
  <pageSetup paperSize="9" scale="74" fitToHeight="0" orientation="portrait" horizontalDpi="300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17EE6-A8BD-451C-8077-5128553311F7}">
  <sheetPr codeName="Sheet30">
    <tabColor rgb="FFFFC000"/>
    <pageSetUpPr fitToPage="1"/>
  </sheetPr>
  <dimension ref="B1:P46"/>
  <sheetViews>
    <sheetView topLeftCell="A31" zoomScaleNormal="100" workbookViewId="0">
      <selection activeCell="B1" sqref="B1:L4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1.8164062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460</v>
      </c>
      <c r="J10" s="17" t="s">
        <v>26</v>
      </c>
      <c r="K10" s="455">
        <v>202308579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顺发冷热清汤                                                 Blk 105, Hougang Ave 1                          #02-43 Market &amp; Food Centre, Singapore 530105</v>
      </c>
      <c r="G11" s="445"/>
      <c r="H11" s="446"/>
      <c r="J11" s="18" t="s">
        <v>9</v>
      </c>
      <c r="K11" s="460">
        <v>45162</v>
      </c>
      <c r="L11" s="461"/>
      <c r="N11" s="60" t="s">
        <v>556</v>
      </c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1432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  <c r="N15" s="172" t="s">
        <v>618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70"/>
      <c r="C18" s="338" t="s">
        <v>831</v>
      </c>
      <c r="D18" s="430" t="str">
        <f>VLOOKUP(C18,'Sales Master'!B$3:D$644,2,0)</f>
        <v>Chendol 浆咯</v>
      </c>
      <c r="E18" s="430"/>
      <c r="F18" s="430"/>
      <c r="G18" s="99">
        <v>2</v>
      </c>
      <c r="H18" s="241" t="str">
        <f>VLOOKUP(C18,'Sales Master'!B$3:F$936,5,0)</f>
        <v>NW(2.2:0.8) 3 KGS/ Bag</v>
      </c>
      <c r="I18" s="432" t="str">
        <f>VLOOKUP(C18,'Sales Master'!B$3:E$936,4,0)</f>
        <v>DO!</v>
      </c>
      <c r="J18" s="432"/>
      <c r="K18" s="22">
        <f>VLOOKUP(C18,'Sales Master'!B$3:CG$936,84,0)</f>
        <v>7</v>
      </c>
      <c r="L18" s="71">
        <f>K18*G18</f>
        <v>14</v>
      </c>
      <c r="N18" s="247">
        <f>VLOOKUP(C18,'Sales Master'!$B$3:$FA$3051,156,0)</f>
        <v>2.44</v>
      </c>
      <c r="O18" s="247">
        <f>K18-N18</f>
        <v>4.5600000000000005</v>
      </c>
      <c r="P18" s="247">
        <f>O18*G18</f>
        <v>9.120000000000001</v>
      </c>
    </row>
    <row r="19" spans="2:16" ht="20.149999999999999" customHeight="1" x14ac:dyDescent="0.45">
      <c r="B19" s="70"/>
      <c r="C19" s="338" t="s">
        <v>892</v>
      </c>
      <c r="D19" s="430" t="str">
        <f>VLOOKUP(C19,'Sales Master'!B$3:D$644,2,0)</f>
        <v>Sweet Potato Powder 番薯粉</v>
      </c>
      <c r="E19" s="430"/>
      <c r="F19" s="430"/>
      <c r="G19" s="99">
        <v>1</v>
      </c>
      <c r="H19" s="241" t="str">
        <f>VLOOKUP(C19,'Sales Master'!B$3:F$936,5,0)</f>
        <v>(500gm x 20Pkt) Ctn</v>
      </c>
      <c r="I19" s="432" t="str">
        <f>VLOOKUP(C19,'Sales Master'!B$3:E$936,4,0)</f>
        <v>KHS</v>
      </c>
      <c r="J19" s="432"/>
      <c r="K19" s="22">
        <f>VLOOKUP(C19,'Sales Master'!B$3:CG$936,84,0)</f>
        <v>36</v>
      </c>
      <c r="L19" s="71">
        <f>K19*G19</f>
        <v>36</v>
      </c>
      <c r="N19" s="247">
        <f>VLOOKUP(C19,'Sales Master'!$B$3:$FA$3051,156,0)</f>
        <v>29</v>
      </c>
      <c r="O19" s="247">
        <f>K19-N19</f>
        <v>7</v>
      </c>
      <c r="P19" s="247">
        <f>O19*G19</f>
        <v>7</v>
      </c>
    </row>
    <row r="20" spans="2:16" ht="20.149999999999999" customHeight="1" x14ac:dyDescent="0.45">
      <c r="B20" s="70"/>
      <c r="C20" s="338" t="s">
        <v>915</v>
      </c>
      <c r="D20" s="430" t="str">
        <f>VLOOKUP(C20,'Sales Master'!B$3:D$644,2,0)</f>
        <v>Atap Seeds in Syrup 亚嗒子</v>
      </c>
      <c r="E20" s="430"/>
      <c r="F20" s="430"/>
      <c r="G20" s="99">
        <v>2</v>
      </c>
      <c r="H20" s="241" t="str">
        <f>VLOOKUP(C20,'Sales Master'!B$3:F$936,5,0)</f>
        <v>NW (2.1:0.9) 3 kgs</v>
      </c>
      <c r="I20" s="432" t="str">
        <f>VLOOKUP(C20,'Sales Master'!B$3:E$936,4,0)</f>
        <v>2P</v>
      </c>
      <c r="J20" s="432"/>
      <c r="K20" s="22">
        <f>VLOOKUP(C20,'Sales Master'!B$3:CG$936,84,0)</f>
        <v>13</v>
      </c>
      <c r="L20" s="71">
        <f t="shared" ref="L20:L21" si="0">K20*G20</f>
        <v>26</v>
      </c>
      <c r="N20" s="247">
        <f>VLOOKUP(C20,'Sales Master'!$B$3:$FA$3051,156,0)</f>
        <v>10.692</v>
      </c>
      <c r="O20" s="247">
        <f t="shared" ref="O20:O21" si="1">K20-N20</f>
        <v>2.3079999999999998</v>
      </c>
      <c r="P20" s="247">
        <f t="shared" ref="P20:P21" si="2">O20*G20</f>
        <v>4.6159999999999997</v>
      </c>
    </row>
    <row r="21" spans="2:16" ht="20.149999999999999" customHeight="1" x14ac:dyDescent="0.45">
      <c r="B21" s="70"/>
      <c r="C21" s="338" t="s">
        <v>918</v>
      </c>
      <c r="D21" s="430" t="str">
        <f>VLOOKUP(C21,'Sales Master'!B$3:D$644,2,0)</f>
        <v>Chin Chow 仙草</v>
      </c>
      <c r="E21" s="430"/>
      <c r="F21" s="430"/>
      <c r="G21" s="99">
        <v>3</v>
      </c>
      <c r="H21" s="241" t="str">
        <f>VLOOKUP(C21,'Sales Master'!B$3:F$936,5,0)</f>
        <v>5KGS/PKT</v>
      </c>
      <c r="I21" s="432" t="str">
        <f>VLOOKUP(C21,'Sales Master'!B$3:E$936,4,0)</f>
        <v>TSM</v>
      </c>
      <c r="J21" s="432"/>
      <c r="K21" s="22">
        <f>VLOOKUP(C21,'Sales Master'!B$3:CG$936,84,0)</f>
        <v>5.3</v>
      </c>
      <c r="L21" s="71">
        <f t="shared" si="0"/>
        <v>15.899999999999999</v>
      </c>
      <c r="N21" s="247">
        <f>VLOOKUP(C21,'Sales Master'!$B$3:$FA$3051,156,0)</f>
        <v>4.32</v>
      </c>
      <c r="O21" s="247">
        <f t="shared" si="1"/>
        <v>0.97999999999999954</v>
      </c>
      <c r="P21" s="247">
        <f t="shared" si="2"/>
        <v>2.9399999999999986</v>
      </c>
    </row>
    <row r="22" spans="2:16" ht="20.149999999999999" customHeight="1" x14ac:dyDescent="0.45">
      <c r="B22" s="70"/>
      <c r="C22" s="338" t="s">
        <v>949</v>
      </c>
      <c r="D22" s="430" t="str">
        <f>VLOOKUP(C22,'Sales Master'!B$3:D$644,2,0)</f>
        <v>Black Glutinous Rice 黑糯米</v>
      </c>
      <c r="E22" s="430"/>
      <c r="F22" s="430"/>
      <c r="G22" s="99">
        <v>1</v>
      </c>
      <c r="H22" s="241" t="str">
        <f>VLOOKUP(C22,'Sales Master'!B$3:F$936,5,0)</f>
        <v>5 kgs</v>
      </c>
      <c r="I22" s="432" t="str">
        <f>VLOOKUP(C22,'Sales Master'!B$3:E$936,4,0)</f>
        <v>-</v>
      </c>
      <c r="J22" s="432"/>
      <c r="K22" s="22">
        <f>VLOOKUP(C22,'Sales Master'!B$3:CG$936,84,0)</f>
        <v>18</v>
      </c>
      <c r="L22" s="71">
        <f t="shared" ref="L22:L26" si="3">K22*G22</f>
        <v>18</v>
      </c>
      <c r="N22" s="247">
        <f>VLOOKUP(C22,'Sales Master'!$B$3:$FA$3051,156,0)</f>
        <v>12.960000000000003</v>
      </c>
      <c r="O22" s="247">
        <f t="shared" ref="O22:O26" si="4">K22-N22</f>
        <v>5.0399999999999974</v>
      </c>
      <c r="P22" s="247">
        <f t="shared" ref="P22:P26" si="5">O22*G22</f>
        <v>5.0399999999999974</v>
      </c>
    </row>
    <row r="23" spans="2:16" ht="20.149999999999999" customHeight="1" x14ac:dyDescent="0.45">
      <c r="B23" s="70"/>
      <c r="C23" s="338" t="s">
        <v>956</v>
      </c>
      <c r="D23" s="430" t="str">
        <f>VLOOKUP(C23,'Sales Master'!B$3:D$644,2,0)</f>
        <v>White Wheat 大麦</v>
      </c>
      <c r="E23" s="430"/>
      <c r="F23" s="430"/>
      <c r="G23" s="99">
        <v>1</v>
      </c>
      <c r="H23" s="241" t="str">
        <f>VLOOKUP(C23,'Sales Master'!B$3:F$936,5,0)</f>
        <v>10PKT/BAG</v>
      </c>
      <c r="I23" s="432" t="str">
        <f>VLOOKUP(C23,'Sales Master'!B$3:E$936,4,0)</f>
        <v>-</v>
      </c>
      <c r="J23" s="432"/>
      <c r="K23" s="22">
        <f>VLOOKUP(C23,'Sales Master'!B$3:CG$936,84,0)</f>
        <v>10.5</v>
      </c>
      <c r="L23" s="71">
        <f t="shared" si="3"/>
        <v>10.5</v>
      </c>
      <c r="N23" s="247">
        <f>VLOOKUP(C23,'Sales Master'!$B$3:$FA$3051,156,0)</f>
        <v>7.8</v>
      </c>
      <c r="O23" s="247">
        <f t="shared" si="4"/>
        <v>2.7</v>
      </c>
      <c r="P23" s="247">
        <f t="shared" si="5"/>
        <v>2.7</v>
      </c>
    </row>
    <row r="24" spans="2:16" ht="20.149999999999999" customHeight="1" x14ac:dyDescent="0.45">
      <c r="B24" s="70"/>
      <c r="C24" s="338" t="s">
        <v>1020</v>
      </c>
      <c r="D24" s="430" t="str">
        <f>VLOOKUP(C24,'Sales Master'!B$3:D$644,2,0)</f>
        <v>Sea Coconut 海底椰</v>
      </c>
      <c r="E24" s="430"/>
      <c r="F24" s="430"/>
      <c r="G24" s="99">
        <v>1</v>
      </c>
      <c r="H24" s="241" t="str">
        <f>VLOOKUP(C24,'Sales Master'!B$3:F$936,5,0)</f>
        <v>1 Can X A10</v>
      </c>
      <c r="I24" s="432" t="str">
        <f>VLOOKUP(C24,'Sales Master'!B$3:E$936,4,0)</f>
        <v>Chefs</v>
      </c>
      <c r="J24" s="432"/>
      <c r="K24" s="22">
        <f>VLOOKUP(C24,'Sales Master'!B$3:CG$936,84,0)</f>
        <v>19</v>
      </c>
      <c r="L24" s="71">
        <f t="shared" si="3"/>
        <v>19</v>
      </c>
      <c r="N24" s="247">
        <f>VLOOKUP(C24,'Sales Master'!$B$3:$FA$3051,156,0)</f>
        <v>14.333333333333334</v>
      </c>
      <c r="O24" s="247">
        <f t="shared" si="4"/>
        <v>4.6666666666666661</v>
      </c>
      <c r="P24" s="247">
        <f t="shared" si="5"/>
        <v>4.6666666666666661</v>
      </c>
    </row>
    <row r="25" spans="2:16" ht="20.149999999999999" customHeight="1" x14ac:dyDescent="0.45">
      <c r="B25" s="70"/>
      <c r="C25" s="338" t="s">
        <v>1080</v>
      </c>
      <c r="D25" s="430" t="str">
        <f>VLOOKUP(C25,'Sales Master'!B$3:D$644,2,0)</f>
        <v>Fine Sugar 白糖</v>
      </c>
      <c r="E25" s="430"/>
      <c r="F25" s="430"/>
      <c r="G25" s="99">
        <v>3</v>
      </c>
      <c r="H25" s="241" t="str">
        <f>VLOOKUP(C25,'Sales Master'!B$3:F$936,5,0)</f>
        <v>25 KGS</v>
      </c>
      <c r="I25" s="432" t="str">
        <f>VLOOKUP(C25,'Sales Master'!B$3:E$936,4,0)</f>
        <v>MITR PHOL</v>
      </c>
      <c r="J25" s="432"/>
      <c r="K25" s="22">
        <f>VLOOKUP(C25,'Sales Master'!B$3:CG$936,84,0)</f>
        <v>33</v>
      </c>
      <c r="L25" s="71">
        <f t="shared" si="3"/>
        <v>99</v>
      </c>
      <c r="N25" s="247">
        <f>VLOOKUP(C25,'Sales Master'!$B$3:$FA$3051,156,0)</f>
        <v>26.784000000000002</v>
      </c>
      <c r="O25" s="247">
        <f t="shared" si="4"/>
        <v>6.2159999999999975</v>
      </c>
      <c r="P25" s="247">
        <f t="shared" si="5"/>
        <v>18.647999999999993</v>
      </c>
    </row>
    <row r="26" spans="2:16" ht="20.149999999999999" customHeight="1" x14ac:dyDescent="0.45">
      <c r="B26" s="70"/>
      <c r="C26" s="372" t="s">
        <v>1085</v>
      </c>
      <c r="D26" s="430" t="str">
        <f>VLOOKUP(C26,'Sales Master'!B$3:D$644,2,0)</f>
        <v>Coconut Sugar 椰糖</v>
      </c>
      <c r="E26" s="430"/>
      <c r="F26" s="430"/>
      <c r="G26" s="99">
        <v>1</v>
      </c>
      <c r="H26" s="241" t="str">
        <f>VLOOKUP(C26,'Sales Master'!B$3:F$936,5,0)</f>
        <v>10kgs/ctn</v>
      </c>
      <c r="I26" s="432" t="str">
        <f>VLOOKUP(C26,'Sales Master'!B$3:E$936,4,0)</f>
        <v>2P</v>
      </c>
      <c r="J26" s="432"/>
      <c r="K26" s="22">
        <f>VLOOKUP(C26,'Sales Master'!B$3:CG$936,84,0)</f>
        <v>37</v>
      </c>
      <c r="L26" s="71">
        <f t="shared" si="3"/>
        <v>37</v>
      </c>
      <c r="N26" s="247">
        <f>VLOOKUP(C26,'Sales Master'!$B$3:$FA$3051,156,0)</f>
        <v>31</v>
      </c>
      <c r="O26" s="247">
        <f t="shared" si="4"/>
        <v>6</v>
      </c>
      <c r="P26" s="247">
        <f t="shared" si="5"/>
        <v>6</v>
      </c>
    </row>
    <row r="27" spans="2:16" ht="20.149999999999999" customHeight="1" x14ac:dyDescent="0.45">
      <c r="B27" s="70"/>
      <c r="C27" s="338"/>
      <c r="D27" s="430"/>
      <c r="E27" s="430"/>
      <c r="F27" s="430"/>
      <c r="G27" s="45"/>
      <c r="H27" s="241"/>
      <c r="I27" s="432"/>
      <c r="J27" s="432"/>
      <c r="K27" s="22"/>
      <c r="L27" s="71"/>
      <c r="N27" s="247"/>
      <c r="O27" s="247"/>
      <c r="P27" s="247"/>
    </row>
    <row r="28" spans="2:16" ht="20.149999999999999" customHeight="1" x14ac:dyDescent="0.45">
      <c r="B28" s="70"/>
      <c r="G28" s="99"/>
      <c r="H28" s="241"/>
      <c r="I28" s="206"/>
      <c r="J28" s="206"/>
      <c r="K28" s="22"/>
      <c r="L28" s="71"/>
      <c r="N28" s="247"/>
      <c r="O28" s="247"/>
      <c r="P28" s="247"/>
    </row>
    <row r="29" spans="2:16" ht="20.149999999999999" hidden="1" customHeight="1" x14ac:dyDescent="0.45">
      <c r="B29" s="21"/>
      <c r="C29" s="172"/>
      <c r="G29" s="233"/>
      <c r="H29" s="65"/>
      <c r="I29" s="65"/>
      <c r="J29" s="65"/>
      <c r="K29" s="22"/>
      <c r="L29" s="71"/>
    </row>
    <row r="30" spans="2:16" ht="20.149999999999999" hidden="1" customHeight="1" x14ac:dyDescent="0.45">
      <c r="B30" s="21"/>
      <c r="C30" s="45"/>
      <c r="D30" s="430"/>
      <c r="E30" s="430"/>
      <c r="F30" s="430"/>
      <c r="G30" s="233"/>
      <c r="H30" s="65"/>
      <c r="I30" s="431"/>
      <c r="J30" s="431"/>
      <c r="K30" s="22"/>
      <c r="L30" s="71"/>
    </row>
    <row r="31" spans="2:16" ht="20.149999999999999" customHeight="1" x14ac:dyDescent="0.45">
      <c r="B31" s="21"/>
      <c r="C31" s="45"/>
      <c r="D31" s="430"/>
      <c r="E31" s="430"/>
      <c r="F31" s="430"/>
      <c r="G31" s="99"/>
      <c r="H31" s="241"/>
      <c r="I31" s="432"/>
      <c r="J31" s="432"/>
      <c r="K31" s="22"/>
      <c r="L31" s="71"/>
    </row>
    <row r="32" spans="2:16" ht="20.149999999999999" customHeight="1" thickBot="1" x14ac:dyDescent="0.5">
      <c r="B32" s="24"/>
      <c r="C32" s="25"/>
      <c r="D32" s="73"/>
      <c r="E32" s="73"/>
      <c r="F32" s="73"/>
      <c r="G32" s="25"/>
      <c r="H32" s="66"/>
      <c r="I32" s="540"/>
      <c r="J32" s="540"/>
      <c r="K32" s="26"/>
      <c r="L32" s="74"/>
    </row>
    <row r="33" spans="2:14" ht="20.149999999999999" customHeight="1" thickBot="1" x14ac:dyDescent="0.5">
      <c r="B33" s="28"/>
      <c r="L33" s="29"/>
    </row>
    <row r="34" spans="2:14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>
        <f>SUM(L17:L33)</f>
        <v>275.39999999999998</v>
      </c>
      <c r="M34" s="95">
        <f>SUM(P18:P32)</f>
        <v>60.73066666666665</v>
      </c>
      <c r="N34" s="248">
        <f>M34/L34</f>
        <v>0.22051803437424347</v>
      </c>
    </row>
    <row r="35" spans="2:14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>
        <f>L37</f>
        <v>20.399999999999999</v>
      </c>
    </row>
    <row r="36" spans="2:14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>
        <f>L34/108*100</f>
        <v>254.99999999999997</v>
      </c>
    </row>
    <row r="37" spans="2:14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0.08</v>
      </c>
      <c r="L37" s="44">
        <f>L36*K37</f>
        <v>20.399999999999999</v>
      </c>
    </row>
    <row r="38" spans="2:14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>
        <f>L36+L37</f>
        <v>275.39999999999998</v>
      </c>
    </row>
    <row r="39" spans="2:14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4" ht="20.149999999999999" customHeight="1" x14ac:dyDescent="0.45">
      <c r="B40" s="183" t="s">
        <v>749</v>
      </c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34"/>
      <c r="C44" s="35"/>
      <c r="D44" s="35"/>
      <c r="J44" s="35"/>
      <c r="K44" s="35"/>
      <c r="L44" s="36"/>
    </row>
    <row r="45" spans="2:14" ht="20.149999999999999" customHeight="1" x14ac:dyDescent="0.45">
      <c r="B45" s="28" t="s">
        <v>24</v>
      </c>
      <c r="J45" s="60" t="s">
        <v>25</v>
      </c>
      <c r="L45" s="29"/>
    </row>
    <row r="46" spans="2:14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43">
    <mergeCell ref="J38:K38"/>
    <mergeCell ref="I30:J30"/>
    <mergeCell ref="J34:K34"/>
    <mergeCell ref="J36:K36"/>
    <mergeCell ref="I22:J22"/>
    <mergeCell ref="D22:F22"/>
    <mergeCell ref="I32:J32"/>
    <mergeCell ref="D30:F30"/>
    <mergeCell ref="D31:F31"/>
    <mergeCell ref="I31:J31"/>
    <mergeCell ref="D27:F27"/>
    <mergeCell ref="I27:J27"/>
    <mergeCell ref="D26:F26"/>
    <mergeCell ref="I26:J26"/>
    <mergeCell ref="D23:F23"/>
    <mergeCell ref="I23:J23"/>
    <mergeCell ref="D25:F25"/>
    <mergeCell ref="I25:J25"/>
    <mergeCell ref="D24:F24"/>
    <mergeCell ref="I24:J24"/>
    <mergeCell ref="D19:F19"/>
    <mergeCell ref="I19:J19"/>
    <mergeCell ref="I18:J18"/>
    <mergeCell ref="I20:J20"/>
    <mergeCell ref="D21:F21"/>
    <mergeCell ref="I21:J21"/>
    <mergeCell ref="D20:F20"/>
    <mergeCell ref="D18:F18"/>
    <mergeCell ref="B1:L8"/>
    <mergeCell ref="D17:F17"/>
    <mergeCell ref="K14:L14"/>
    <mergeCell ref="B15:D15"/>
    <mergeCell ref="K15:L15"/>
    <mergeCell ref="K11:L11"/>
    <mergeCell ref="B12:D12"/>
    <mergeCell ref="K12:L12"/>
    <mergeCell ref="B13:D13"/>
    <mergeCell ref="K13:L13"/>
    <mergeCell ref="K10:L10"/>
    <mergeCell ref="I17:J17"/>
    <mergeCell ref="B11:D11"/>
    <mergeCell ref="F11:H15"/>
    <mergeCell ref="B14:D14"/>
  </mergeCells>
  <conditionalFormatting sqref="C29:C30">
    <cfRule type="duplicateValues" dxfId="30" priority="3"/>
  </conditionalFormatting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75435-6692-4BBC-A7FC-5C837995DAB3}">
  <sheetPr codeName="Sheet79">
    <tabColor rgb="FFFFCC66"/>
    <pageSetUpPr fitToPage="1"/>
  </sheetPr>
  <dimension ref="B1:P42"/>
  <sheetViews>
    <sheetView topLeftCell="B26" zoomScaleNormal="100" workbookViewId="0">
      <selection activeCell="H20" sqref="H2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501</v>
      </c>
      <c r="J10" s="17" t="s">
        <v>26</v>
      </c>
      <c r="K10" s="455">
        <v>202310450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TEL:97536053                                          10, Tuas Ave 3 Singapore 639409</v>
      </c>
      <c r="G11" s="445"/>
      <c r="H11" s="446"/>
      <c r="J11" s="18" t="s">
        <v>9</v>
      </c>
      <c r="K11" s="460">
        <v>45218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 t="s">
        <v>1490</v>
      </c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833</v>
      </c>
      <c r="D18" s="430" t="str">
        <f>VLOOKUP(C18,'Sales Master'!B$3:D$644,2,0)</f>
        <v>Coconut Sugar Syrup 椰糖浆</v>
      </c>
      <c r="E18" s="430"/>
      <c r="F18" s="430"/>
      <c r="G18" s="45">
        <v>4</v>
      </c>
      <c r="H18" s="241" t="str">
        <f>VLOOKUP(C18,'Sales Master'!B$3:F$936,5,0)</f>
        <v>4L/ Btl支</v>
      </c>
      <c r="I18" s="432" t="str">
        <f>VLOOKUP(C18,'Sales Master'!B$3:E$936,4,0)</f>
        <v>DO!</v>
      </c>
      <c r="J18" s="432"/>
      <c r="K18" s="22">
        <f>VLOOKUP(C18,'Sales Master'!B$3:CR$527,95,0)</f>
        <v>15</v>
      </c>
      <c r="L18" s="71">
        <f>K18*G18</f>
        <v>60</v>
      </c>
      <c r="N18" s="247">
        <f>VLOOKUP(C18,'Sales Master'!$B$3:$FA$3051,156,0)</f>
        <v>8.89</v>
      </c>
      <c r="O18" s="247">
        <f>K18-N18</f>
        <v>6.1099999999999994</v>
      </c>
      <c r="P18" s="247">
        <f>O18*G18</f>
        <v>24.439999999999998</v>
      </c>
    </row>
    <row r="19" spans="2:16" ht="20.149999999999999" customHeight="1" x14ac:dyDescent="0.45">
      <c r="B19" s="21"/>
      <c r="C19" s="338" t="s">
        <v>1080</v>
      </c>
      <c r="D19" s="430" t="str">
        <f>VLOOKUP(C19,'Sales Master'!B$3:D$644,2,0)</f>
        <v>Fine Sugar 白糖</v>
      </c>
      <c r="E19" s="430"/>
      <c r="F19" s="430"/>
      <c r="G19" s="45">
        <v>2</v>
      </c>
      <c r="H19" s="241" t="str">
        <f>VLOOKUP(C19,'Sales Master'!B$3:F$936,5,0)</f>
        <v>25 KGS</v>
      </c>
      <c r="I19" s="432" t="str">
        <f>VLOOKUP(C19,'Sales Master'!B$3:E$936,4,0)</f>
        <v>MITR PHOL</v>
      </c>
      <c r="J19" s="432"/>
      <c r="K19" s="22">
        <f>VLOOKUP(C19,'Sales Master'!B$3:CR$527,95,0)</f>
        <v>34</v>
      </c>
      <c r="L19" s="71">
        <f>K19*G19</f>
        <v>68</v>
      </c>
      <c r="N19" s="247">
        <f>VLOOKUP(C19,'Sales Master'!$B$3:$FA$3051,156,0)</f>
        <v>26.784000000000002</v>
      </c>
      <c r="O19" s="247">
        <f>K19-N19</f>
        <v>7.2159999999999975</v>
      </c>
      <c r="P19" s="247">
        <f>O19*G19</f>
        <v>14.431999999999995</v>
      </c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  <c r="N20" s="247"/>
      <c r="O20" s="247"/>
      <c r="P20" s="247"/>
    </row>
    <row r="21" spans="2:16" ht="20.149999999999999" customHeight="1" x14ac:dyDescent="0.45">
      <c r="B21" s="21"/>
      <c r="C21" s="45"/>
      <c r="D21" s="69"/>
      <c r="E21" s="69"/>
      <c r="F21" s="69"/>
      <c r="G21" s="45"/>
      <c r="H21" s="65"/>
      <c r="I21" s="65"/>
      <c r="J21" s="65"/>
      <c r="K21" s="22"/>
      <c r="L21" s="71"/>
      <c r="N21" s="247"/>
      <c r="O21" s="247"/>
      <c r="P21" s="247"/>
    </row>
    <row r="22" spans="2:16" ht="20.149999999999999" customHeight="1" x14ac:dyDescent="0.45">
      <c r="B22" s="70"/>
      <c r="C22" s="12" t="s">
        <v>1236</v>
      </c>
      <c r="G22" s="99"/>
      <c r="H22" s="65"/>
      <c r="I22" s="65"/>
      <c r="J22" s="65"/>
      <c r="K22" s="96"/>
      <c r="L22" s="71"/>
    </row>
    <row r="23" spans="2:16" ht="20.149999999999999" customHeight="1" x14ac:dyDescent="0.45">
      <c r="B23" s="21"/>
      <c r="C23" s="69" t="s">
        <v>1363</v>
      </c>
      <c r="G23" s="99"/>
      <c r="H23" s="65"/>
      <c r="I23" s="206"/>
      <c r="J23" s="206"/>
      <c r="K23" s="96"/>
      <c r="L23" s="71"/>
    </row>
    <row r="24" spans="2:16" ht="20.149999999999999" customHeight="1" x14ac:dyDescent="0.45">
      <c r="B24" s="21"/>
      <c r="C24" s="69" t="s">
        <v>1364</v>
      </c>
      <c r="G24" s="233"/>
      <c r="H24" s="65"/>
      <c r="I24" s="431"/>
      <c r="J24" s="431"/>
      <c r="K24" s="22"/>
      <c r="L24" s="23"/>
    </row>
    <row r="25" spans="2:16" ht="20.149999999999999" customHeight="1" x14ac:dyDescent="0.45">
      <c r="B25" s="21"/>
      <c r="L25" s="23"/>
    </row>
    <row r="26" spans="2:16" ht="20.149999999999999" customHeight="1" x14ac:dyDescent="0.45">
      <c r="B26" s="21"/>
      <c r="C26" s="305" t="s">
        <v>1738</v>
      </c>
      <c r="G26" s="233"/>
      <c r="H26" s="65"/>
      <c r="I26" s="65"/>
      <c r="J26" s="65"/>
      <c r="K26" s="22"/>
      <c r="L26" s="23"/>
    </row>
    <row r="27" spans="2:16" ht="20.149999999999999" customHeight="1" x14ac:dyDescent="0.45">
      <c r="B27" s="21"/>
      <c r="C27" s="338" t="s">
        <v>1080</v>
      </c>
      <c r="D27" s="430" t="str">
        <f>VLOOKUP(C27,'Sales Master'!B$3:D$644,2,0)</f>
        <v>Fine Sugar 白糖</v>
      </c>
      <c r="E27" s="430"/>
      <c r="F27" s="430"/>
      <c r="G27" s="233">
        <v>1</v>
      </c>
      <c r="H27" s="241" t="str">
        <f>VLOOKUP(C27,'Sales Master'!B$3:F$936,5,0)</f>
        <v>25 KGS</v>
      </c>
      <c r="I27" s="432" t="str">
        <f>VLOOKUP(C27,'Sales Master'!B$3:E$936,4,0)</f>
        <v>MITR PHOL</v>
      </c>
      <c r="J27" s="432"/>
      <c r="K27" s="22">
        <v>34</v>
      </c>
      <c r="L27" s="23"/>
    </row>
    <row r="28" spans="2:16" ht="20.149999999999999" customHeight="1" thickBot="1" x14ac:dyDescent="0.5">
      <c r="B28" s="24"/>
      <c r="C28" s="25"/>
      <c r="D28" s="473"/>
      <c r="E28" s="473"/>
      <c r="F28" s="473"/>
      <c r="G28" s="25"/>
      <c r="H28" s="66"/>
      <c r="I28" s="66"/>
      <c r="J28" s="66"/>
      <c r="K28" s="26"/>
      <c r="L28" s="27"/>
    </row>
    <row r="29" spans="2:16" ht="20.149999999999999" customHeight="1" thickBot="1" x14ac:dyDescent="0.5">
      <c r="B29" s="28"/>
      <c r="L29" s="29"/>
    </row>
    <row r="30" spans="2:16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474" t="s">
        <v>13</v>
      </c>
      <c r="K30" s="475"/>
      <c r="L30" s="30">
        <f>SUM(L18:L29)</f>
        <v>128</v>
      </c>
      <c r="M30" s="95">
        <f>SUM(P18:P28)-L30*0.02</f>
        <v>36.311999999999991</v>
      </c>
      <c r="N30" s="405">
        <f>M30-L31</f>
        <v>26.83051851851851</v>
      </c>
    </row>
    <row r="31" spans="2:16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0" t="s">
        <v>553</v>
      </c>
      <c r="K31" s="113">
        <v>6.54E-2</v>
      </c>
      <c r="L31" s="32">
        <f>L33</f>
        <v>9.481481481481481</v>
      </c>
    </row>
    <row r="32" spans="2:16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476" t="s">
        <v>555</v>
      </c>
      <c r="K32" s="477"/>
      <c r="L32" s="114">
        <f>L30/108*100</f>
        <v>118.5185185185185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1" t="s">
        <v>554</v>
      </c>
      <c r="K33" s="112">
        <v>0.08</v>
      </c>
      <c r="L33" s="44">
        <f>L32*K33</f>
        <v>9.481481481481481</v>
      </c>
    </row>
    <row r="34" spans="2:12" ht="20.149999999999999" customHeight="1" thickBot="1" x14ac:dyDescent="0.5">
      <c r="B34" s="11" t="s">
        <v>748</v>
      </c>
      <c r="C34" s="10"/>
      <c r="D34" s="10"/>
      <c r="E34" s="10"/>
      <c r="F34" s="10"/>
      <c r="G34" s="10"/>
      <c r="H34" s="10"/>
      <c r="I34" s="10"/>
      <c r="J34" s="478" t="s">
        <v>21</v>
      </c>
      <c r="K34" s="479"/>
      <c r="L34" s="33">
        <f>L32+L33</f>
        <v>127.99999999999999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83" t="s">
        <v>749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26">
    <mergeCell ref="D18:F18"/>
    <mergeCell ref="I18:J18"/>
    <mergeCell ref="D19:F19"/>
    <mergeCell ref="I19:J19"/>
    <mergeCell ref="B14:D14"/>
    <mergeCell ref="K14:L14"/>
    <mergeCell ref="B15:D15"/>
    <mergeCell ref="K15:L15"/>
    <mergeCell ref="D17:F17"/>
    <mergeCell ref="I17:J17"/>
    <mergeCell ref="D27:F27"/>
    <mergeCell ref="I27:J27"/>
    <mergeCell ref="B1:L8"/>
    <mergeCell ref="J34:K34"/>
    <mergeCell ref="D28:F28"/>
    <mergeCell ref="J30:K30"/>
    <mergeCell ref="J32:K32"/>
    <mergeCell ref="I24:J24"/>
    <mergeCell ref="K10:L10"/>
    <mergeCell ref="B11:D11"/>
    <mergeCell ref="F11:H15"/>
    <mergeCell ref="K11:L11"/>
    <mergeCell ref="B12:D12"/>
    <mergeCell ref="K12:L12"/>
    <mergeCell ref="B13:D13"/>
    <mergeCell ref="K13:L13"/>
  </mergeCells>
  <conditionalFormatting sqref="C26">
    <cfRule type="duplicateValues" dxfId="29" priority="1"/>
  </conditionalFormatting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56007-84BC-435A-99E2-63FDBD9EB9DE}">
  <sheetPr codeName="Sheet71">
    <tabColor rgb="FFFFC000"/>
    <pageSetUpPr fitToPage="1"/>
  </sheetPr>
  <dimension ref="B1:W46"/>
  <sheetViews>
    <sheetView topLeftCell="B31" zoomScaleNormal="100" workbookViewId="0">
      <selection activeCell="M38" sqref="M3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425</v>
      </c>
      <c r="J10" s="17" t="s">
        <v>26</v>
      </c>
      <c r="K10" s="455">
        <v>202301118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YANG YU PING                                      BLOCK 515, HOUGANG AVENUE 10, #11-181 SINGAPORE 530515</v>
      </c>
      <c r="G11" s="445"/>
      <c r="H11" s="446"/>
      <c r="J11" s="18" t="s">
        <v>9</v>
      </c>
      <c r="K11" s="502">
        <v>44932</v>
      </c>
      <c r="L11" s="466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33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377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  <c r="N15" s="69" t="s">
        <v>609</v>
      </c>
    </row>
    <row r="16" spans="2:14" ht="19" thickBot="1" x14ac:dyDescent="0.5">
      <c r="J16" s="45"/>
    </row>
    <row r="17" spans="2:23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3" ht="20.149999999999999" customHeight="1" x14ac:dyDescent="0.45">
      <c r="B18" s="21"/>
      <c r="C18" s="45" t="s">
        <v>907</v>
      </c>
      <c r="D18" s="430" t="str">
        <f>VLOOKUP(C18,'Sales Master'!B$3:D$316,2,0)</f>
        <v>RICE FLOUR 粘米粉</v>
      </c>
      <c r="E18" s="430"/>
      <c r="F18" s="430"/>
      <c r="G18" s="45">
        <v>1</v>
      </c>
      <c r="H18" s="65" t="str">
        <f>VLOOKUP(C18,'Sales Master'!B$3:F$936,5,0)</f>
        <v>(600gm x 20Pkt)箱</v>
      </c>
      <c r="I18" s="431" t="str">
        <f>VLOOKUP(C18,'Sales Master'!B$3:E$936,4,0)</f>
        <v>ERAWAN</v>
      </c>
      <c r="J18" s="431"/>
      <c r="K18" s="46">
        <f>VLOOKUP(C18,'Sales Master'!B$3:W$527,22,0)</f>
        <v>26</v>
      </c>
      <c r="L18" s="71">
        <f>K18*G18</f>
        <v>26</v>
      </c>
      <c r="N18" s="247">
        <f>VLOOKUP(C18,'Sales Master'!$B$3:$FA$3051,156,0)</f>
        <v>18.600000000000001</v>
      </c>
      <c r="O18" s="247">
        <f>K18-N18</f>
        <v>7.3999999999999986</v>
      </c>
      <c r="P18" s="247">
        <f>O18*G18</f>
        <v>7.3999999999999986</v>
      </c>
      <c r="R18" s="60">
        <v>2</v>
      </c>
      <c r="S18" s="60" t="s">
        <v>33</v>
      </c>
      <c r="T18" s="60" t="s">
        <v>383</v>
      </c>
      <c r="V18" s="60">
        <v>8</v>
      </c>
      <c r="W18" s="60">
        <v>16</v>
      </c>
    </row>
    <row r="19" spans="2:23" ht="20.149999999999999" customHeight="1" x14ac:dyDescent="0.45">
      <c r="B19" s="21"/>
      <c r="C19" s="45" t="s">
        <v>909</v>
      </c>
      <c r="D19" s="430" t="str">
        <f>VLOOKUP(C19,'Sales Master'!B$3:D$3009,2,0)</f>
        <v>Glutinous FLOUR 糯米粉</v>
      </c>
      <c r="E19" s="430"/>
      <c r="F19" s="430"/>
      <c r="G19" s="45">
        <v>1</v>
      </c>
      <c r="H19" s="65" t="str">
        <f>VLOOKUP(C19,'Sales Master'!B$3:F$936,5,0)</f>
        <v>(600gm x 20Pkt)箱</v>
      </c>
      <c r="I19" s="431" t="str">
        <f>VLOOKUP(C19,'Sales Master'!B$3:E$936,4,0)</f>
        <v>ERAWAN</v>
      </c>
      <c r="J19" s="431"/>
      <c r="K19" s="46">
        <f>VLOOKUP(C19,'Sales Master'!B$3:W$527,22,0)</f>
        <v>32</v>
      </c>
      <c r="L19" s="71">
        <f>K19*G19</f>
        <v>32</v>
      </c>
      <c r="N19" s="247">
        <f>VLOOKUP(C19,'Sales Master'!$B$3:$FA$3051,156,0)</f>
        <v>25.3</v>
      </c>
      <c r="O19" s="247">
        <f t="shared" ref="O19:O24" si="0">K19-N19</f>
        <v>6.6999999999999993</v>
      </c>
      <c r="P19" s="247">
        <f t="shared" ref="P19:P24" si="1">O19*G19</f>
        <v>6.6999999999999993</v>
      </c>
      <c r="R19" s="60">
        <v>1</v>
      </c>
      <c r="S19" s="60" t="s">
        <v>59</v>
      </c>
      <c r="T19" s="60" t="s">
        <v>383</v>
      </c>
      <c r="V19" s="60">
        <v>6</v>
      </c>
      <c r="W19" s="60">
        <v>6</v>
      </c>
    </row>
    <row r="20" spans="2:23" ht="20.149999999999999" customHeight="1" x14ac:dyDescent="0.45">
      <c r="B20" s="21"/>
      <c r="C20" s="45" t="s">
        <v>1468</v>
      </c>
      <c r="D20" s="430" t="str">
        <f>VLOOKUP(C20,'Sales Master'!B$3:D$3009,2,0)</f>
        <v xml:space="preserve">PLAIN FLOUR 面粉 </v>
      </c>
      <c r="E20" s="430"/>
      <c r="F20" s="430"/>
      <c r="G20" s="45">
        <v>5</v>
      </c>
      <c r="H20" s="65" t="str">
        <f>VLOOKUP(C20,'Sales Master'!B$3:F$936,5,0)</f>
        <v>1 KG</v>
      </c>
      <c r="I20" s="431" t="str">
        <f>VLOOKUP(C20,'Sales Master'!B$3:E$936,4,0)</f>
        <v>THREE EAGLE</v>
      </c>
      <c r="J20" s="431"/>
      <c r="K20" s="46">
        <f>VLOOKUP(C20,'Sales Master'!B$3:W$527,22,0)</f>
        <v>1.7</v>
      </c>
      <c r="L20" s="71">
        <f>K20*G20</f>
        <v>8.5</v>
      </c>
      <c r="N20" s="247">
        <f>VLOOKUP(C20,'Sales Master'!$B$3:$FA$3051,156,0)</f>
        <v>1.25</v>
      </c>
      <c r="O20" s="247">
        <f t="shared" si="0"/>
        <v>0.44999999999999996</v>
      </c>
      <c r="P20" s="247">
        <f t="shared" si="1"/>
        <v>2.25</v>
      </c>
      <c r="R20" s="60">
        <v>12</v>
      </c>
      <c r="S20" s="60" t="s">
        <v>33</v>
      </c>
      <c r="T20" s="60" t="s">
        <v>383</v>
      </c>
      <c r="V20" s="60">
        <v>8</v>
      </c>
      <c r="W20" s="60">
        <v>96</v>
      </c>
    </row>
    <row r="21" spans="2:23" ht="20.149999999999999" customHeight="1" x14ac:dyDescent="0.45">
      <c r="B21" s="21"/>
      <c r="C21" s="45" t="s">
        <v>1213</v>
      </c>
      <c r="D21" s="430" t="e">
        <f>VLOOKUP(C21,'Sales Master'!B$3:D$3009,2,0)</f>
        <v>#N/A</v>
      </c>
      <c r="E21" s="430"/>
      <c r="F21" s="430"/>
      <c r="G21" s="45">
        <v>3</v>
      </c>
      <c r="H21" s="65" t="e">
        <f>VLOOKUP(C21,'Sales Master'!B$3:F$936,5,0)</f>
        <v>#N/A</v>
      </c>
      <c r="I21" s="431" t="e">
        <f>VLOOKUP(C21,'Sales Master'!B$3:E$936,4,0)</f>
        <v>#N/A</v>
      </c>
      <c r="J21" s="431"/>
      <c r="K21" s="46" t="e">
        <f>VLOOKUP(C21,'Sales Master'!B$3:W$527,22,0)</f>
        <v>#N/A</v>
      </c>
      <c r="L21" s="71" t="e">
        <f>K21*G21</f>
        <v>#N/A</v>
      </c>
      <c r="N21" s="247" t="e">
        <f>VLOOKUP(C21,'Sales Master'!$B$3:$FA$3051,156,0)</f>
        <v>#N/A</v>
      </c>
      <c r="O21" s="247" t="e">
        <f t="shared" si="0"/>
        <v>#N/A</v>
      </c>
      <c r="P21" s="247" t="e">
        <f t="shared" si="1"/>
        <v>#N/A</v>
      </c>
    </row>
    <row r="22" spans="2:23" ht="20.149999999999999" customHeight="1" x14ac:dyDescent="0.45">
      <c r="B22" s="21"/>
      <c r="C22" s="45" t="s">
        <v>1469</v>
      </c>
      <c r="D22" s="430" t="str">
        <f>VLOOKUP(C22,'Sales Master'!B$3:D$3009,2,0)</f>
        <v>Brown Sugar 黑糖</v>
      </c>
      <c r="E22" s="430"/>
      <c r="F22" s="430"/>
      <c r="G22" s="97">
        <v>3</v>
      </c>
      <c r="H22" s="65" t="str">
        <f>VLOOKUP(C22,'Sales Master'!B$3:F$936,5,0)</f>
        <v>1 kg</v>
      </c>
      <c r="I22" s="431" t="str">
        <f>VLOOKUP(C22,'Sales Master'!B$3:E$936,4,0)</f>
        <v>Star</v>
      </c>
      <c r="J22" s="431"/>
      <c r="K22" s="46">
        <f>VLOOKUP(C22,'Sales Master'!B$3:W$527,22,0)</f>
        <v>2.8</v>
      </c>
      <c r="L22" s="71">
        <f t="shared" ref="L22:L24" si="2">K22*G22</f>
        <v>8.3999999999999986</v>
      </c>
      <c r="N22" s="247">
        <f>VLOOKUP(C22,'Sales Master'!$B$3:$FA$3051,156,0)</f>
        <v>2</v>
      </c>
      <c r="O22" s="247">
        <f t="shared" si="0"/>
        <v>0.79999999999999982</v>
      </c>
      <c r="P22" s="247">
        <f t="shared" si="1"/>
        <v>2.3999999999999995</v>
      </c>
    </row>
    <row r="23" spans="2:23" ht="20.149999999999999" customHeight="1" x14ac:dyDescent="0.45">
      <c r="B23" s="70"/>
      <c r="C23" s="45" t="s">
        <v>939</v>
      </c>
      <c r="D23" s="430" t="str">
        <f>VLOOKUP(C23,'Sales Master'!B$3:D$3009,2,0)</f>
        <v>Green Bean 绿豆</v>
      </c>
      <c r="E23" s="430"/>
      <c r="F23" s="430"/>
      <c r="G23" s="45">
        <v>1</v>
      </c>
      <c r="H23" s="65" t="str">
        <f>VLOOKUP(C23,'Sales Master'!B$3:F$936,5,0)</f>
        <v>1 KGS</v>
      </c>
      <c r="I23" s="431" t="str">
        <f>VLOOKUP(C23,'Sales Master'!B$3:E$936,4,0)</f>
        <v>-</v>
      </c>
      <c r="J23" s="431"/>
      <c r="K23" s="46">
        <f>VLOOKUP(C23,'Sales Master'!B$3:W$527,22,0)</f>
        <v>2.6</v>
      </c>
      <c r="L23" s="71">
        <f t="shared" si="2"/>
        <v>2.6</v>
      </c>
      <c r="N23" s="247">
        <f>VLOOKUP(C23,'Sales Master'!$B$3:$FA$3051,156,0)</f>
        <v>1.9439999999999997</v>
      </c>
      <c r="O23" s="247">
        <f t="shared" si="0"/>
        <v>0.65600000000000036</v>
      </c>
      <c r="P23" s="247">
        <f t="shared" si="1"/>
        <v>0.65600000000000036</v>
      </c>
      <c r="W23" s="60">
        <v>24</v>
      </c>
    </row>
    <row r="24" spans="2:23" ht="20.149999999999999" customHeight="1" x14ac:dyDescent="0.45">
      <c r="B24" s="70"/>
      <c r="C24" s="45" t="s">
        <v>940</v>
      </c>
      <c r="D24" s="430" t="str">
        <f>VLOOKUP(C24,'Sales Master'!B$3:D$3009,2,0)</f>
        <v>SOYABEAN</v>
      </c>
      <c r="E24" s="430"/>
      <c r="F24" s="430"/>
      <c r="G24" s="349">
        <v>5</v>
      </c>
      <c r="H24" s="65" t="str">
        <f>VLOOKUP(C24,'Sales Master'!B$3:F$936,5,0)</f>
        <v>300 GM</v>
      </c>
      <c r="I24" s="431" t="str">
        <f>VLOOKUP(C24,'Sales Master'!B$3:E$936,4,0)</f>
        <v>-</v>
      </c>
      <c r="J24" s="431"/>
      <c r="K24" s="46">
        <f>VLOOKUP(C24,'Sales Master'!B$3:W$527,22,0)</f>
        <v>1.4</v>
      </c>
      <c r="L24" s="71">
        <f t="shared" si="2"/>
        <v>7</v>
      </c>
      <c r="N24" s="247">
        <f>VLOOKUP(C24,'Sales Master'!$B$3:$FA$3051,156,0)</f>
        <v>1.1000000000000001</v>
      </c>
      <c r="O24" s="247">
        <f t="shared" si="0"/>
        <v>0.29999999999999982</v>
      </c>
      <c r="P24" s="247">
        <f t="shared" si="1"/>
        <v>1.4999999999999991</v>
      </c>
    </row>
    <row r="25" spans="2:23" ht="20.149999999999999" customHeight="1" x14ac:dyDescent="0.45">
      <c r="B25" s="70"/>
      <c r="C25" s="351"/>
      <c r="E25" s="178"/>
      <c r="F25" s="178"/>
      <c r="G25" s="349"/>
      <c r="H25" s="350"/>
      <c r="I25" s="352"/>
      <c r="J25" s="352"/>
      <c r="K25" s="348"/>
      <c r="L25" s="68"/>
    </row>
    <row r="26" spans="2:23" ht="20.149999999999999" customHeight="1" x14ac:dyDescent="0.45">
      <c r="B26" s="70"/>
      <c r="C26" s="45"/>
      <c r="D26" s="430"/>
      <c r="E26" s="430"/>
      <c r="F26" s="430"/>
      <c r="G26" s="45"/>
      <c r="H26" s="65"/>
      <c r="I26" s="431"/>
      <c r="J26" s="431"/>
      <c r="K26" s="118"/>
      <c r="L26" s="98"/>
    </row>
    <row r="27" spans="2:23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46"/>
      <c r="L27" s="71"/>
    </row>
    <row r="28" spans="2:23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46"/>
      <c r="L28" s="71"/>
    </row>
    <row r="29" spans="2:23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46"/>
      <c r="L29" s="71"/>
    </row>
    <row r="30" spans="2:23" ht="20.149999999999999" customHeight="1" x14ac:dyDescent="0.45">
      <c r="B30" s="21"/>
      <c r="C30" s="45"/>
      <c r="D30" s="430"/>
      <c r="E30" s="430"/>
      <c r="F30" s="430"/>
      <c r="G30" s="45"/>
      <c r="H30" s="65"/>
      <c r="I30" s="431"/>
      <c r="J30" s="431"/>
      <c r="K30" s="46"/>
      <c r="L30" s="71"/>
    </row>
    <row r="31" spans="2:23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46"/>
      <c r="L31" s="23"/>
    </row>
    <row r="32" spans="2:23" ht="20.149999999999999" customHeight="1" thickBot="1" x14ac:dyDescent="0.5">
      <c r="B32" s="24"/>
      <c r="C32" s="25"/>
      <c r="D32" s="473"/>
      <c r="E32" s="473"/>
      <c r="F32" s="473"/>
      <c r="G32" s="25"/>
      <c r="H32" s="66"/>
      <c r="I32" s="66"/>
      <c r="J32" s="66"/>
      <c r="K32" s="26"/>
      <c r="L32" s="27"/>
    </row>
    <row r="33" spans="2:13" ht="20.149999999999999" customHeight="1" thickBot="1" x14ac:dyDescent="0.5">
      <c r="B33" s="28"/>
      <c r="L33" s="29"/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 t="e">
        <f>SUM(L15:L33)</f>
        <v>#N/A</v>
      </c>
      <c r="M34" s="95" t="e">
        <f>SUM(P18:P24)</f>
        <v>#N/A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>
        <v>0</v>
      </c>
    </row>
    <row r="36" spans="2:13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 t="e">
        <f>L34</f>
        <v>#N/A</v>
      </c>
    </row>
    <row r="37" spans="2:13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7.0000000000000007E-2</v>
      </c>
      <c r="L37" s="44" t="e">
        <f>L36*K37</f>
        <v>#N/A</v>
      </c>
    </row>
    <row r="38" spans="2:13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 t="e">
        <f>L36+L37</f>
        <v>#N/A</v>
      </c>
    </row>
    <row r="39" spans="2:13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3" ht="20.149999999999999" customHeight="1" x14ac:dyDescent="0.45">
      <c r="B40" s="183" t="s">
        <v>749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34"/>
      <c r="C44" s="35"/>
      <c r="D44" s="35"/>
      <c r="J44" s="35"/>
      <c r="K44" s="35"/>
      <c r="L44" s="36"/>
    </row>
    <row r="45" spans="2:13" ht="20.149999999999999" customHeight="1" x14ac:dyDescent="0.45">
      <c r="B45" s="28" t="s">
        <v>24</v>
      </c>
      <c r="J45" s="60" t="s">
        <v>25</v>
      </c>
      <c r="L45" s="29"/>
    </row>
    <row r="46" spans="2:13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44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4:F24"/>
    <mergeCell ref="I24:J24"/>
    <mergeCell ref="D29:F29"/>
    <mergeCell ref="I29:J29"/>
    <mergeCell ref="D17:F17"/>
    <mergeCell ref="I17:J17"/>
    <mergeCell ref="D18:F18"/>
    <mergeCell ref="I18:J18"/>
    <mergeCell ref="D20:F20"/>
    <mergeCell ref="I20:J20"/>
    <mergeCell ref="D19:F19"/>
    <mergeCell ref="I19:J19"/>
    <mergeCell ref="D22:F22"/>
    <mergeCell ref="I22:J22"/>
    <mergeCell ref="D21:F21"/>
    <mergeCell ref="I21:J21"/>
    <mergeCell ref="B1:L8"/>
    <mergeCell ref="J38:K38"/>
    <mergeCell ref="D31:F31"/>
    <mergeCell ref="D32:F32"/>
    <mergeCell ref="J34:K34"/>
    <mergeCell ref="J36:K36"/>
    <mergeCell ref="D28:F28"/>
    <mergeCell ref="I28:J28"/>
    <mergeCell ref="D30:F30"/>
    <mergeCell ref="I30:J30"/>
    <mergeCell ref="D26:F26"/>
    <mergeCell ref="I26:J26"/>
    <mergeCell ref="D27:F27"/>
    <mergeCell ref="I27:J27"/>
    <mergeCell ref="D23:F23"/>
    <mergeCell ref="I23:J23"/>
  </mergeCells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9C43-383C-4626-A662-7339C37D84FA}">
  <sheetPr codeName="Sheet146">
    <tabColor rgb="FFFF0000"/>
    <pageSetUpPr fitToPage="1"/>
  </sheetPr>
  <dimension ref="B1:V46"/>
  <sheetViews>
    <sheetView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9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9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9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9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9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9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  <c r="N6" s="437" t="s">
        <v>618</v>
      </c>
      <c r="O6" s="437"/>
      <c r="P6" s="437"/>
      <c r="Q6" s="437"/>
    </row>
    <row r="7" spans="2:19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9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9" ht="19" thickBot="1" x14ac:dyDescent="0.5">
      <c r="B9" s="12"/>
    </row>
    <row r="10" spans="2:19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418</v>
      </c>
      <c r="J10" s="17" t="s">
        <v>26</v>
      </c>
      <c r="K10" s="455">
        <v>202210276</v>
      </c>
      <c r="L10" s="456"/>
    </row>
    <row r="11" spans="2:19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Mei Le Yuan Desserts                               85 Redhill Lane, #01-81                     Redhill Market, Singapore 150085</v>
      </c>
      <c r="G11" s="445"/>
      <c r="H11" s="446"/>
      <c r="J11" s="18" t="s">
        <v>9</v>
      </c>
      <c r="K11" s="460">
        <v>44849</v>
      </c>
      <c r="L11" s="461"/>
    </row>
    <row r="12" spans="2:19" ht="20.149999999999999" customHeight="1" x14ac:dyDescent="0.45">
      <c r="B12" s="462" t="s">
        <v>1385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9" ht="20.149999999999999" customHeight="1" x14ac:dyDescent="0.45">
      <c r="B13" s="462" t="s">
        <v>1386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9" ht="20.149999999999999" customHeight="1" x14ac:dyDescent="0.45">
      <c r="B14" s="462" t="s">
        <v>1390</v>
      </c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9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9" ht="19" thickBot="1" x14ac:dyDescent="0.5">
      <c r="J16" s="45"/>
      <c r="N16" s="117"/>
      <c r="O16" s="117"/>
      <c r="P16" s="117"/>
      <c r="Q16" s="117"/>
      <c r="R16" s="117">
        <v>5</v>
      </c>
      <c r="S16" s="117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20.149999999999999" customHeight="1" x14ac:dyDescent="0.45">
      <c r="B18" s="21"/>
      <c r="C18" s="45" t="s">
        <v>921</v>
      </c>
      <c r="D18" s="430" t="str">
        <f>VLOOKUP(C18,'Sales Master'!B$3:D$642,2,0)</f>
        <v>GingKo Nut (Peel off) 白果仁</v>
      </c>
      <c r="E18" s="430"/>
      <c r="F18" s="430"/>
      <c r="G18" s="45">
        <v>4</v>
      </c>
      <c r="H18" s="241" t="str">
        <f>VLOOKUP(C18,'Sales Master'!B$3:F$936,5,0)</f>
        <v>1 kg (2 包)</v>
      </c>
      <c r="I18" s="432" t="str">
        <f>VLOOKUP(C18,'Sales Master'!B$3:E$936,4,0)</f>
        <v>-</v>
      </c>
      <c r="J18" s="432"/>
      <c r="K18" s="22">
        <f>VLOOKUP(C18,'Sales Master'!B$3:AP$527,41,0)</f>
        <v>5</v>
      </c>
      <c r="L18" s="71">
        <f t="shared" ref="L18" si="0">K18*G18</f>
        <v>20</v>
      </c>
      <c r="N18" s="247">
        <f>VLOOKUP(C18,'Sales Master'!$B$3:$FA$3051,156,0)</f>
        <v>3.06</v>
      </c>
      <c r="O18" s="247">
        <f t="shared" ref="O18" si="1">K18-N18</f>
        <v>1.94</v>
      </c>
      <c r="P18" s="247">
        <f t="shared" ref="P18" si="2">O18*G18</f>
        <v>7.76</v>
      </c>
      <c r="R18" s="60">
        <v>10</v>
      </c>
      <c r="S18" s="60" t="s">
        <v>33</v>
      </c>
      <c r="T18" s="60" t="s">
        <v>65</v>
      </c>
      <c r="V18" s="60">
        <v>1.6</v>
      </c>
    </row>
    <row r="19" spans="2:22" ht="20.149999999999999" customHeight="1" x14ac:dyDescent="0.45">
      <c r="B19" s="21"/>
      <c r="C19" s="45"/>
      <c r="D19" s="430"/>
      <c r="E19" s="430"/>
      <c r="F19" s="430"/>
      <c r="G19" s="45"/>
      <c r="H19" s="241"/>
      <c r="I19" s="432"/>
      <c r="J19" s="432"/>
      <c r="K19" s="22"/>
      <c r="L19" s="71"/>
      <c r="N19" s="247"/>
      <c r="O19" s="247"/>
      <c r="P19" s="247"/>
    </row>
    <row r="20" spans="2:22" ht="20.149999999999999" customHeight="1" x14ac:dyDescent="0.45">
      <c r="B20" s="21"/>
      <c r="C20" s="45"/>
      <c r="D20" s="430"/>
      <c r="E20" s="430"/>
      <c r="F20" s="430"/>
      <c r="G20" s="45"/>
      <c r="H20" s="241"/>
      <c r="I20" s="432"/>
      <c r="J20" s="432"/>
      <c r="K20" s="22"/>
      <c r="L20" s="71"/>
      <c r="N20" s="247"/>
      <c r="O20" s="247"/>
      <c r="P20" s="247"/>
    </row>
    <row r="21" spans="2:22" ht="20.149999999999999" customHeight="1" x14ac:dyDescent="0.45">
      <c r="B21" s="21"/>
      <c r="C21" s="45"/>
      <c r="D21" s="430"/>
      <c r="E21" s="430"/>
      <c r="F21" s="430"/>
      <c r="G21" s="45"/>
      <c r="H21" s="241"/>
      <c r="I21" s="432"/>
      <c r="J21" s="432"/>
      <c r="K21" s="22"/>
      <c r="L21" s="71"/>
      <c r="N21" s="247"/>
      <c r="O21" s="247"/>
      <c r="P21" s="247"/>
    </row>
    <row r="22" spans="2:22" ht="20.149999999999999" customHeight="1" x14ac:dyDescent="0.45">
      <c r="B22" s="70"/>
      <c r="C22" s="45"/>
      <c r="D22" s="430"/>
      <c r="E22" s="430"/>
      <c r="F22" s="430"/>
      <c r="G22" s="45"/>
      <c r="H22" s="241"/>
      <c r="I22" s="432"/>
      <c r="J22" s="432"/>
      <c r="K22" s="22"/>
      <c r="L22" s="71"/>
      <c r="N22" s="247"/>
      <c r="O22" s="247"/>
      <c r="P22" s="247"/>
      <c r="Q22" s="117"/>
      <c r="R22" s="117"/>
      <c r="S22" s="117"/>
    </row>
    <row r="23" spans="2:22" ht="20.149999999999999" customHeight="1" x14ac:dyDescent="0.45">
      <c r="B23" s="21"/>
      <c r="C23" s="305" t="s">
        <v>1441</v>
      </c>
      <c r="E23" s="69"/>
      <c r="F23" s="69"/>
      <c r="G23" s="99"/>
      <c r="H23" s="65"/>
      <c r="I23" s="65"/>
      <c r="J23" s="65"/>
      <c r="K23" s="22"/>
      <c r="L23" s="71"/>
      <c r="N23" s="247"/>
      <c r="O23" s="247"/>
      <c r="P23" s="247"/>
      <c r="Q23" s="117"/>
      <c r="R23" s="117"/>
      <c r="S23" s="117"/>
    </row>
    <row r="24" spans="2:22" ht="20.149999999999999" customHeight="1" x14ac:dyDescent="0.45">
      <c r="B24" s="21"/>
      <c r="C24" s="45" t="s">
        <v>1082</v>
      </c>
      <c r="D24" s="430" t="e">
        <f>VLOOKUP(C24,'Sales Master'!B$3:D$642,2,0)</f>
        <v>#N/A</v>
      </c>
      <c r="E24" s="430"/>
      <c r="F24" s="430"/>
      <c r="G24" s="45">
        <v>1</v>
      </c>
      <c r="H24" s="241" t="e">
        <f>VLOOKUP(C24,'Sales Master'!B$3:F$936,5,0)</f>
        <v>#N/A</v>
      </c>
      <c r="I24" s="432" t="e">
        <f>VLOOKUP(C24,'Sales Master'!B$3:E$936,4,0)</f>
        <v>#N/A</v>
      </c>
      <c r="J24" s="432"/>
      <c r="K24" s="22">
        <v>6.5</v>
      </c>
      <c r="L24" s="71"/>
      <c r="N24" s="247"/>
      <c r="O24" s="247"/>
      <c r="P24" s="247"/>
      <c r="Q24" s="117"/>
      <c r="R24" s="117"/>
      <c r="S24" s="117"/>
    </row>
    <row r="25" spans="2:22" ht="20.149999999999999" customHeight="1" x14ac:dyDescent="0.45">
      <c r="B25" s="21"/>
      <c r="C25" s="69"/>
      <c r="D25" s="430"/>
      <c r="E25" s="430"/>
      <c r="F25" s="430"/>
      <c r="G25" s="45"/>
      <c r="H25" s="241"/>
      <c r="I25" s="432"/>
      <c r="J25" s="432"/>
      <c r="K25" s="96"/>
      <c r="L25" s="71"/>
      <c r="N25" s="247"/>
      <c r="O25" s="247"/>
      <c r="P25" s="247"/>
      <c r="Q25" s="117"/>
      <c r="R25" s="117"/>
    </row>
    <row r="26" spans="2:22" ht="20.149999999999999" customHeight="1" x14ac:dyDescent="0.45">
      <c r="B26" s="21"/>
      <c r="C26" s="45"/>
      <c r="D26" s="69"/>
      <c r="E26" s="69"/>
      <c r="F26" s="69"/>
      <c r="G26" s="45"/>
      <c r="H26" s="65"/>
      <c r="I26" s="65"/>
      <c r="J26" s="65"/>
      <c r="K26" s="277"/>
      <c r="L26" s="71"/>
      <c r="N26" s="247"/>
      <c r="O26" s="247"/>
      <c r="P26" s="247"/>
      <c r="Q26" s="117"/>
      <c r="R26" s="117"/>
    </row>
    <row r="27" spans="2:22" ht="20.149999999999999" customHeight="1" x14ac:dyDescent="0.45">
      <c r="B27" s="21"/>
      <c r="C27" s="12" t="s">
        <v>1236</v>
      </c>
      <c r="D27" s="69"/>
      <c r="E27" s="69"/>
      <c r="F27" s="69"/>
      <c r="G27" s="45"/>
      <c r="H27" s="65"/>
      <c r="I27" s="65"/>
      <c r="J27" s="65"/>
      <c r="K27" s="22"/>
      <c r="L27" s="71"/>
      <c r="N27" s="247"/>
      <c r="O27" s="247"/>
      <c r="P27" s="247"/>
      <c r="Q27" s="117"/>
      <c r="R27" s="117"/>
    </row>
    <row r="28" spans="2:22" ht="20.149999999999999" customHeight="1" x14ac:dyDescent="0.45">
      <c r="B28" s="21"/>
      <c r="C28" s="69" t="s">
        <v>1363</v>
      </c>
      <c r="D28" s="69"/>
      <c r="E28" s="69"/>
      <c r="F28" s="69"/>
      <c r="G28" s="45"/>
      <c r="H28" s="65"/>
      <c r="I28" s="65"/>
      <c r="J28" s="65"/>
      <c r="K28" s="22"/>
      <c r="L28" s="71"/>
      <c r="N28" s="247"/>
      <c r="O28" s="247"/>
      <c r="P28" s="247"/>
      <c r="Q28" s="117"/>
      <c r="R28" s="117"/>
    </row>
    <row r="29" spans="2:22" ht="20.149999999999999" customHeight="1" x14ac:dyDescent="0.45">
      <c r="B29" s="21"/>
      <c r="C29" s="69" t="s">
        <v>1364</v>
      </c>
      <c r="G29" s="45"/>
      <c r="H29" s="65"/>
      <c r="I29" s="206"/>
      <c r="J29" s="206"/>
      <c r="K29" s="22"/>
      <c r="L29" s="71"/>
      <c r="N29" s="247"/>
      <c r="O29" s="247"/>
      <c r="P29" s="247"/>
      <c r="Q29" s="117"/>
      <c r="R29" s="117"/>
    </row>
    <row r="30" spans="2:22" x14ac:dyDescent="0.45">
      <c r="B30" s="21"/>
      <c r="C30" s="45"/>
      <c r="D30" s="69"/>
      <c r="E30" s="69"/>
      <c r="F30" s="69"/>
      <c r="G30" s="233"/>
      <c r="H30" s="65"/>
      <c r="I30" s="65"/>
      <c r="J30" s="65"/>
      <c r="K30" s="22"/>
      <c r="L30" s="71"/>
    </row>
    <row r="31" spans="2:22" ht="20.149999999999999" customHeight="1" x14ac:dyDescent="0.45">
      <c r="B31" s="21"/>
      <c r="C31" s="45"/>
      <c r="D31" s="45"/>
      <c r="E31" s="45"/>
      <c r="F31" s="45"/>
      <c r="G31" s="233"/>
      <c r="H31" s="65"/>
      <c r="I31" s="65"/>
      <c r="J31" s="65"/>
      <c r="K31" s="22"/>
      <c r="L31" s="23"/>
    </row>
    <row r="32" spans="2:22" ht="20.149999999999999" customHeight="1" thickBot="1" x14ac:dyDescent="0.5">
      <c r="B32" s="24"/>
      <c r="C32" s="25"/>
      <c r="D32" s="473"/>
      <c r="E32" s="473"/>
      <c r="F32" s="473"/>
      <c r="G32" s="25"/>
      <c r="H32" s="66"/>
      <c r="I32" s="66"/>
      <c r="J32" s="66"/>
      <c r="K32" s="26"/>
      <c r="L32" s="27"/>
    </row>
    <row r="33" spans="2:13" ht="20.149999999999999" customHeight="1" thickBot="1" x14ac:dyDescent="0.5">
      <c r="B33" s="28"/>
      <c r="L33" s="29"/>
    </row>
    <row r="34" spans="2:13" ht="20.149999999999999" customHeight="1" x14ac:dyDescent="0.45">
      <c r="B34" s="11" t="s">
        <v>16</v>
      </c>
      <c r="C34" s="10"/>
      <c r="D34" s="10"/>
      <c r="E34" s="10"/>
      <c r="F34" s="10"/>
      <c r="G34" s="10"/>
      <c r="H34" s="10"/>
      <c r="I34" s="10"/>
      <c r="J34" s="474" t="s">
        <v>13</v>
      </c>
      <c r="K34" s="475"/>
      <c r="L34" s="30">
        <f>SUM(L18:L33)</f>
        <v>20</v>
      </c>
      <c r="M34" s="95">
        <f>SUM(P13:P32)-L34*0.02</f>
        <v>7.3599999999999994</v>
      </c>
    </row>
    <row r="35" spans="2:13" ht="20.149999999999999" customHeight="1" x14ac:dyDescent="0.45">
      <c r="B35" s="11" t="s">
        <v>17</v>
      </c>
      <c r="C35" s="10"/>
      <c r="D35" s="10"/>
      <c r="E35" s="10"/>
      <c r="F35" s="10"/>
      <c r="G35" s="10"/>
      <c r="H35" s="10"/>
      <c r="I35" s="10"/>
      <c r="J35" s="110" t="s">
        <v>553</v>
      </c>
      <c r="K35" s="113">
        <v>6.54E-2</v>
      </c>
      <c r="L35" s="32">
        <f>L37</f>
        <v>1.3084112149532712</v>
      </c>
    </row>
    <row r="36" spans="2:13" ht="20.149999999999999" customHeight="1" x14ac:dyDescent="0.45">
      <c r="B36" s="11" t="s">
        <v>18</v>
      </c>
      <c r="C36" s="10"/>
      <c r="D36" s="10"/>
      <c r="E36" s="10"/>
      <c r="F36" s="10"/>
      <c r="G36" s="10"/>
      <c r="H36" s="10"/>
      <c r="I36" s="10"/>
      <c r="J36" s="476" t="s">
        <v>555</v>
      </c>
      <c r="K36" s="477"/>
      <c r="L36" s="114">
        <f>L34/107*100</f>
        <v>18.691588785046729</v>
      </c>
    </row>
    <row r="37" spans="2:13" ht="20.149999999999999" customHeight="1" x14ac:dyDescent="0.45">
      <c r="B37" s="11" t="s">
        <v>22</v>
      </c>
      <c r="C37" s="10"/>
      <c r="D37" s="10"/>
      <c r="E37" s="10"/>
      <c r="F37" s="10"/>
      <c r="G37" s="10"/>
      <c r="H37" s="10"/>
      <c r="I37" s="10"/>
      <c r="J37" s="111" t="s">
        <v>554</v>
      </c>
      <c r="K37" s="112">
        <v>7.0000000000000007E-2</v>
      </c>
      <c r="L37" s="44">
        <f>L36*K37</f>
        <v>1.3084112149532712</v>
      </c>
    </row>
    <row r="38" spans="2:13" ht="20.149999999999999" customHeight="1" thickBot="1" x14ac:dyDescent="0.5">
      <c r="B38" s="11" t="s">
        <v>748</v>
      </c>
      <c r="C38" s="10"/>
      <c r="D38" s="10"/>
      <c r="E38" s="10"/>
      <c r="F38" s="10"/>
      <c r="G38" s="10"/>
      <c r="H38" s="10"/>
      <c r="I38" s="10"/>
      <c r="J38" s="478" t="s">
        <v>21</v>
      </c>
      <c r="K38" s="479"/>
      <c r="L38" s="33">
        <f>L36+L37</f>
        <v>20</v>
      </c>
    </row>
    <row r="39" spans="2:13" ht="20.149999999999999" customHeight="1" x14ac:dyDescent="0.45">
      <c r="B39" s="11" t="s">
        <v>23</v>
      </c>
      <c r="C39" s="10"/>
      <c r="D39" s="10"/>
      <c r="E39" s="10"/>
      <c r="F39" s="10"/>
      <c r="G39" s="10"/>
      <c r="H39" s="10"/>
      <c r="I39" s="10"/>
      <c r="L39" s="29"/>
    </row>
    <row r="40" spans="2:13" ht="20.149999999999999" customHeight="1" x14ac:dyDescent="0.45">
      <c r="B40" s="183" t="s">
        <v>749</v>
      </c>
      <c r="L40" s="29"/>
    </row>
    <row r="41" spans="2:13" ht="20.149999999999999" customHeight="1" x14ac:dyDescent="0.45">
      <c r="B41" s="28"/>
      <c r="L41" s="29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28"/>
      <c r="L43" s="29"/>
    </row>
    <row r="44" spans="2:13" ht="20.149999999999999" customHeight="1" x14ac:dyDescent="0.45">
      <c r="B44" s="34"/>
      <c r="C44" s="35"/>
      <c r="D44" s="35"/>
      <c r="J44" s="35"/>
      <c r="K44" s="35"/>
      <c r="L44" s="36"/>
    </row>
    <row r="45" spans="2:13" ht="20.149999999999999" customHeight="1" x14ac:dyDescent="0.45">
      <c r="B45" s="28" t="s">
        <v>24</v>
      </c>
      <c r="J45" s="60" t="s">
        <v>25</v>
      </c>
      <c r="L45" s="29"/>
    </row>
    <row r="46" spans="2:13" ht="19" thickBot="1" x14ac:dyDescent="0.5">
      <c r="B46" s="37"/>
      <c r="C46" s="62"/>
      <c r="D46" s="62"/>
      <c r="E46" s="62"/>
      <c r="F46" s="62"/>
      <c r="G46" s="62"/>
      <c r="H46" s="62"/>
      <c r="I46" s="62"/>
      <c r="J46" s="62"/>
      <c r="K46" s="62"/>
      <c r="L46" s="38"/>
    </row>
  </sheetData>
  <mergeCells count="34">
    <mergeCell ref="J36:K36"/>
    <mergeCell ref="J38:K38"/>
    <mergeCell ref="D24:F24"/>
    <mergeCell ref="I24:J24"/>
    <mergeCell ref="D25:F25"/>
    <mergeCell ref="I25:J25"/>
    <mergeCell ref="D32:F32"/>
    <mergeCell ref="J34:K34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N6:Q6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3">
    <cfRule type="duplicateValues" dxfId="28" priority="1"/>
  </conditionalFormatting>
  <conditionalFormatting sqref="C30">
    <cfRule type="duplicateValues" dxfId="27" priority="3"/>
    <cfRule type="duplicateValues" dxfId="26" priority="4"/>
  </conditionalFormatting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EDE1F-8D20-4240-ACB3-9B022E4FC6A2}">
  <sheetPr codeName="Sheet6">
    <tabColor rgb="FF7030A0"/>
    <pageSetUpPr fitToPage="1"/>
  </sheetPr>
  <dimension ref="B8:P47"/>
  <sheetViews>
    <sheetView topLeftCell="C23" zoomScaleNormal="100" workbookViewId="0">
      <selection activeCell="N35" sqref="N3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8.8164062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3" width="12.54296875" style="60"/>
    <col min="14" max="16" width="12.54296875" style="60" customWidth="1"/>
    <col min="17" max="16384" width="12.54296875" style="60"/>
  </cols>
  <sheetData>
    <row r="8" spans="2:12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426</v>
      </c>
      <c r="J10" s="17" t="s">
        <v>26</v>
      </c>
      <c r="K10" s="455">
        <v>202309567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SWEET SMOOTHIES                                  Blk 215, Ang Mo Kio Ave 1 #01-903  Singapore 560216</v>
      </c>
      <c r="G11" s="445"/>
      <c r="H11" s="446"/>
      <c r="J11" s="18" t="s">
        <v>9</v>
      </c>
      <c r="K11" s="460">
        <v>45192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862</v>
      </c>
      <c r="D18" s="487" t="str">
        <f>VLOOKUP(C18,'Sales Master'!$B$3:D$643,2,0)</f>
        <v>Fresh Soursop Seedless 红毛榴莲(无)</v>
      </c>
      <c r="E18" s="487"/>
      <c r="F18" s="487"/>
      <c r="G18" s="45">
        <v>2</v>
      </c>
      <c r="H18" s="206" t="str">
        <f>VLOOKUP(C18,'Sales Master'!B$3:F$936,5,0)</f>
        <v>Box/盒</v>
      </c>
      <c r="I18" s="432" t="str">
        <f>VLOOKUP(C18,'Sales Master'!B$3:E$936,4,0)</f>
        <v>DO!</v>
      </c>
      <c r="J18" s="432"/>
      <c r="K18" s="22">
        <f>VLOOKUP(C18,'Sales Master'!$B$8:$BP$8018,67,0)</f>
        <v>10</v>
      </c>
      <c r="L18" s="71">
        <f>K18*G18</f>
        <v>20</v>
      </c>
      <c r="N18" s="247">
        <f>VLOOKUP(C18,'Sales Master'!$B$3:$FA$3051,156,0)</f>
        <v>5.13</v>
      </c>
      <c r="O18" s="247">
        <f>K18-N18</f>
        <v>4.87</v>
      </c>
      <c r="P18" s="247">
        <f>O18*G18</f>
        <v>9.74</v>
      </c>
    </row>
    <row r="19" spans="2:16" ht="20.149999999999999" customHeight="1" x14ac:dyDescent="0.45">
      <c r="B19" s="21"/>
      <c r="C19" s="338" t="s">
        <v>820</v>
      </c>
      <c r="D19" s="430" t="str">
        <f>VLOOKUP(C19,'Sales Master'!$B$3:D$643,2,0)</f>
        <v>Durian Puree 榴莲浆</v>
      </c>
      <c r="E19" s="430"/>
      <c r="F19" s="430"/>
      <c r="G19" s="45">
        <v>3</v>
      </c>
      <c r="H19" s="206" t="str">
        <f>VLOOKUP(C19,'Sales Master'!B$3:F$936,5,0)</f>
        <v>Box/盒</v>
      </c>
      <c r="I19" s="432" t="str">
        <f>VLOOKUP(C19,'Sales Master'!B$3:E$936,4,0)</f>
        <v>DO!</v>
      </c>
      <c r="J19" s="432"/>
      <c r="K19" s="22">
        <f>VLOOKUP(C19,'Sales Master'!$B$8:$BP$8018,67,0)</f>
        <v>8</v>
      </c>
      <c r="L19" s="71">
        <f t="shared" ref="L19:L22" si="0">K19*G19</f>
        <v>24</v>
      </c>
      <c r="N19" s="247">
        <f>VLOOKUP(C19,'Sales Master'!$B$3:$FA$3051,156,0)</f>
        <v>4.71</v>
      </c>
      <c r="O19" s="247">
        <f t="shared" ref="O19:O22" si="1">K19-N19</f>
        <v>3.29</v>
      </c>
      <c r="P19" s="247">
        <f t="shared" ref="P19:P22" si="2">O19*G19</f>
        <v>9.870000000000001</v>
      </c>
    </row>
    <row r="20" spans="2:16" ht="20.149999999999999" customHeight="1" x14ac:dyDescent="0.45">
      <c r="B20" s="21"/>
      <c r="C20" s="338" t="s">
        <v>821</v>
      </c>
      <c r="D20" s="430" t="str">
        <f>VLOOKUP(C20,'Sales Master'!$B$3:D$643,2,0)</f>
        <v>Mango Puree 芒果浆</v>
      </c>
      <c r="E20" s="430"/>
      <c r="F20" s="430"/>
      <c r="G20" s="45">
        <v>2</v>
      </c>
      <c r="H20" s="206" t="str">
        <f>VLOOKUP(C20,'Sales Master'!B$3:F$936,5,0)</f>
        <v>Box/盒</v>
      </c>
      <c r="I20" s="432" t="str">
        <f>VLOOKUP(C20,'Sales Master'!B$3:E$936,4,0)</f>
        <v>DO!</v>
      </c>
      <c r="J20" s="432"/>
      <c r="K20" s="22">
        <f>VLOOKUP(C20,'Sales Master'!$B$8:$BP$8018,67,0)</f>
        <v>7</v>
      </c>
      <c r="L20" s="71">
        <f t="shared" si="0"/>
        <v>14</v>
      </c>
      <c r="N20" s="247">
        <f>VLOOKUP(C20,'Sales Master'!$B$3:$FA$3051,156,0)</f>
        <v>2.15</v>
      </c>
      <c r="O20" s="247">
        <f t="shared" si="1"/>
        <v>4.8499999999999996</v>
      </c>
      <c r="P20" s="247">
        <f t="shared" si="2"/>
        <v>9.6999999999999993</v>
      </c>
    </row>
    <row r="21" spans="2:16" ht="20.149999999999999" customHeight="1" x14ac:dyDescent="0.45">
      <c r="B21" s="21"/>
      <c r="C21" s="338" t="s">
        <v>1024</v>
      </c>
      <c r="D21" s="430" t="str">
        <f>VLOOKUP(C21,'Sales Master'!$B$3:D$643,2,0)</f>
        <v>Nata 椰果芊 5mm</v>
      </c>
      <c r="E21" s="430"/>
      <c r="F21" s="430"/>
      <c r="G21" s="45">
        <v>1</v>
      </c>
      <c r="H21" s="206" t="str">
        <f>VLOOKUP(C21,'Sales Master'!B$3:F$936,5,0)</f>
        <v>1 Can X A10</v>
      </c>
      <c r="I21" s="432" t="str">
        <f>VLOOKUP(C21,'Sales Master'!B$3:E$936,4,0)</f>
        <v>Chefs</v>
      </c>
      <c r="J21" s="432"/>
      <c r="K21" s="22">
        <f>VLOOKUP(C21,'Sales Master'!$B$8:$BP$8018,67,0)</f>
        <v>10.5</v>
      </c>
      <c r="L21" s="71">
        <f t="shared" si="0"/>
        <v>10.5</v>
      </c>
      <c r="N21" s="247">
        <f>VLOOKUP(C21,'Sales Master'!$B$3:$FA$3051,156,0)</f>
        <v>7.666666666666667</v>
      </c>
      <c r="O21" s="247">
        <f t="shared" si="1"/>
        <v>2.833333333333333</v>
      </c>
      <c r="P21" s="247">
        <f t="shared" si="2"/>
        <v>2.833333333333333</v>
      </c>
    </row>
    <row r="22" spans="2:16" ht="20.149999999999999" customHeight="1" x14ac:dyDescent="0.45">
      <c r="B22" s="21"/>
      <c r="C22" s="338" t="s">
        <v>1044</v>
      </c>
      <c r="D22" s="430" t="str">
        <f>VLOOKUP(C22,'Sales Master'!$B$3:D$643,2,0)</f>
        <v>Carnation Milk 三花淡奶水</v>
      </c>
      <c r="E22" s="430"/>
      <c r="F22" s="430"/>
      <c r="G22" s="45">
        <v>1</v>
      </c>
      <c r="H22" s="206" t="str">
        <f>VLOOKUP(C22,'Sales Master'!B$3:F$936,5,0)</f>
        <v>405 gm x48 can/Ctn</v>
      </c>
      <c r="I22" s="432" t="str">
        <f>VLOOKUP(C22,'Sales Master'!B$3:E$936,4,0)</f>
        <v>Threeflower</v>
      </c>
      <c r="J22" s="432"/>
      <c r="K22" s="22">
        <f>VLOOKUP(C22,'Sales Master'!$B$8:$BP$8018,67,0)</f>
        <v>60</v>
      </c>
      <c r="L22" s="71">
        <f t="shared" si="0"/>
        <v>60</v>
      </c>
      <c r="N22" s="247">
        <f>VLOOKUP(C22,'Sales Master'!$B$3:$FA$3051,156,0)</f>
        <v>52</v>
      </c>
      <c r="O22" s="247">
        <f t="shared" si="1"/>
        <v>8</v>
      </c>
      <c r="P22" s="247">
        <f t="shared" si="2"/>
        <v>8</v>
      </c>
    </row>
    <row r="23" spans="2:16" ht="20.149999999999999" customHeight="1" x14ac:dyDescent="0.45">
      <c r="B23" s="21"/>
      <c r="C23" s="338"/>
      <c r="D23" s="69"/>
      <c r="E23" s="69"/>
      <c r="F23" s="69"/>
      <c r="G23" s="45"/>
      <c r="H23" s="65"/>
      <c r="I23" s="65"/>
      <c r="J23" s="65"/>
      <c r="K23" s="22"/>
      <c r="L23" s="71"/>
      <c r="N23" s="247"/>
      <c r="O23" s="247"/>
      <c r="P23" s="247"/>
    </row>
    <row r="24" spans="2:16" ht="20.149999999999999" customHeight="1" x14ac:dyDescent="0.45">
      <c r="B24" s="21"/>
      <c r="C24" s="69"/>
      <c r="G24" s="45"/>
      <c r="H24" s="65"/>
      <c r="I24" s="431"/>
      <c r="J24" s="431"/>
      <c r="K24" s="96"/>
      <c r="L24" s="71"/>
    </row>
    <row r="25" spans="2:16" ht="20.149999999999999" customHeight="1" x14ac:dyDescent="0.45">
      <c r="B25" s="70"/>
      <c r="C25" s="12" t="s">
        <v>1236</v>
      </c>
      <c r="G25" s="45"/>
      <c r="H25" s="65"/>
      <c r="I25" s="206"/>
      <c r="J25" s="206"/>
      <c r="K25" s="96"/>
      <c r="L25" s="98"/>
    </row>
    <row r="26" spans="2:16" ht="20.149999999999999" customHeight="1" x14ac:dyDescent="0.45">
      <c r="B26" s="70"/>
      <c r="C26" s="69" t="s">
        <v>1363</v>
      </c>
      <c r="G26" s="45"/>
      <c r="H26" s="65"/>
      <c r="I26" s="206"/>
      <c r="J26" s="206"/>
      <c r="K26" s="96"/>
      <c r="L26" s="98"/>
    </row>
    <row r="27" spans="2:16" ht="20.149999999999999" customHeight="1" x14ac:dyDescent="0.45">
      <c r="B27" s="70"/>
      <c r="C27" s="69" t="s">
        <v>1364</v>
      </c>
      <c r="D27" s="69"/>
      <c r="E27" s="69"/>
      <c r="F27" s="69"/>
      <c r="G27" s="45"/>
      <c r="H27" s="65"/>
      <c r="I27" s="65"/>
      <c r="J27" s="65"/>
      <c r="K27" s="22"/>
      <c r="L27" s="98"/>
    </row>
    <row r="28" spans="2:16" ht="20.149999999999999" customHeight="1" x14ac:dyDescent="0.45">
      <c r="B28" s="70"/>
      <c r="C28" s="275"/>
      <c r="G28" s="99"/>
      <c r="H28" s="65"/>
      <c r="I28" s="65"/>
      <c r="J28" s="65"/>
      <c r="K28" s="96"/>
      <c r="L28" s="98"/>
    </row>
    <row r="29" spans="2:16" ht="20.149999999999999" customHeight="1" x14ac:dyDescent="0.45">
      <c r="B29" s="70"/>
      <c r="C29" s="45"/>
      <c r="D29" s="440"/>
      <c r="E29" s="440"/>
      <c r="F29" s="440"/>
      <c r="G29" s="99"/>
      <c r="H29" s="65"/>
      <c r="I29" s="431"/>
      <c r="J29" s="431"/>
      <c r="K29" s="96"/>
      <c r="L29" s="98"/>
    </row>
    <row r="30" spans="2:16" ht="20.149999999999999" customHeight="1" x14ac:dyDescent="0.45">
      <c r="B30" s="70"/>
      <c r="C30" s="45"/>
      <c r="D30" s="430"/>
      <c r="E30" s="430"/>
      <c r="F30" s="430"/>
      <c r="G30" s="233"/>
      <c r="H30" s="65"/>
      <c r="I30" s="431"/>
      <c r="J30" s="431"/>
      <c r="K30" s="22"/>
      <c r="L30" s="71"/>
    </row>
    <row r="31" spans="2:16" ht="20.149999999999999" customHeight="1" x14ac:dyDescent="0.45">
      <c r="B31" s="70"/>
      <c r="L31" s="71"/>
    </row>
    <row r="32" spans="2:16" ht="20.149999999999999" customHeight="1" x14ac:dyDescent="0.45">
      <c r="B32" s="70"/>
      <c r="L32" s="71"/>
    </row>
    <row r="33" spans="2:14" ht="20.149999999999999" customHeight="1" thickBot="1" x14ac:dyDescent="0.5">
      <c r="B33" s="24"/>
      <c r="C33" s="25"/>
      <c r="D33" s="473"/>
      <c r="E33" s="473"/>
      <c r="F33" s="473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474" t="s">
        <v>13</v>
      </c>
      <c r="K35" s="475"/>
      <c r="L35" s="30">
        <f>SUM(L18:L34)</f>
        <v>128.5</v>
      </c>
      <c r="M35" s="95">
        <f>SUM(P6:P32)-(L38*0.02)</f>
        <v>39.952962962962964</v>
      </c>
      <c r="N35" s="248">
        <f>M35/L35</f>
        <v>0.31091799971177403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0" t="s">
        <v>553</v>
      </c>
      <c r="K36" s="113">
        <v>6.54E-2</v>
      </c>
      <c r="L36" s="32">
        <f>L35-L37</f>
        <v>9.5185185185185048</v>
      </c>
    </row>
    <row r="37" spans="2:14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476" t="s">
        <v>555</v>
      </c>
      <c r="K37" s="477"/>
      <c r="L37" s="114">
        <f>L35/108*100</f>
        <v>118.9814814814815</v>
      </c>
    </row>
    <row r="38" spans="2:14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1" t="s">
        <v>554</v>
      </c>
      <c r="K38" s="112">
        <v>0.08</v>
      </c>
      <c r="L38" s="44">
        <f>L37*K38</f>
        <v>9.518518518518519</v>
      </c>
    </row>
    <row r="39" spans="2:14" ht="20.149999999999999" customHeight="1" thickBot="1" x14ac:dyDescent="0.5">
      <c r="B39" s="11" t="s">
        <v>748</v>
      </c>
      <c r="C39" s="10"/>
      <c r="D39" s="10"/>
      <c r="E39" s="10"/>
      <c r="F39" s="10"/>
      <c r="G39" s="10"/>
      <c r="H39" s="10"/>
      <c r="I39" s="10"/>
      <c r="J39" s="478" t="s">
        <v>21</v>
      </c>
      <c r="K39" s="479"/>
      <c r="L39" s="33">
        <f>L37+L38</f>
        <v>128.5</v>
      </c>
    </row>
    <row r="40" spans="2:14" ht="20.149999999999999" customHeight="1" x14ac:dyDescent="0.45">
      <c r="B40" s="11" t="s">
        <v>23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83" t="s">
        <v>749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24</v>
      </c>
      <c r="J46" s="60" t="s">
        <v>25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33">
    <mergeCell ref="J35:K35"/>
    <mergeCell ref="J37:K37"/>
    <mergeCell ref="J39:K39"/>
    <mergeCell ref="I24:J24"/>
    <mergeCell ref="D29:F29"/>
    <mergeCell ref="I29:J29"/>
    <mergeCell ref="D30:F30"/>
    <mergeCell ref="I30:J30"/>
    <mergeCell ref="D20:F20"/>
    <mergeCell ref="I20:J20"/>
    <mergeCell ref="D21:F21"/>
    <mergeCell ref="I21:J21"/>
    <mergeCell ref="D33:F33"/>
    <mergeCell ref="D22:F22"/>
    <mergeCell ref="I22:J22"/>
    <mergeCell ref="D17:F17"/>
    <mergeCell ref="I17:J17"/>
    <mergeCell ref="D19:F19"/>
    <mergeCell ref="I19:J19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30">
    <cfRule type="duplicateValues" dxfId="144" priority="1"/>
    <cfRule type="duplicateValues" dxfId="143" priority="204"/>
  </conditionalFormatting>
  <pageMargins left="0.70866141732283505" right="0.31496062992126" top="0.55118110236220497" bottom="0" header="0.31496062992126" footer="0.31496062992126"/>
  <pageSetup paperSize="9" scale="74" fitToHeight="0" orientation="portrait" horizontalDpi="300" verticalDpi="3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2877B-988E-4027-B3D5-FD902355E821}">
  <sheetPr codeName="Sheet96">
    <tabColor rgb="FFFF0000"/>
    <pageSetUpPr fitToPage="1"/>
  </sheetPr>
  <dimension ref="B1:O48"/>
  <sheetViews>
    <sheetView topLeftCell="A18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4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472</v>
      </c>
      <c r="J10" s="17" t="s">
        <v>26</v>
      </c>
      <c r="K10" s="455">
        <v>202011097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MFC  Food &amp; Press Pte Ltd                            Bukit Timah Plaze. 1, Jalan Anak Bukit #B1-47  Singpaore  588996</v>
      </c>
      <c r="G11" s="445"/>
      <c r="H11" s="446"/>
      <c r="J11" s="18" t="s">
        <v>9</v>
      </c>
      <c r="K11" s="502">
        <v>43962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502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705</v>
      </c>
      <c r="D18" s="430" t="e">
        <f>VLOOKUP(C18,'Sales Master'!B$3:D$316,2,0)</f>
        <v>#N/A</v>
      </c>
      <c r="E18" s="430"/>
      <c r="F18" s="430"/>
      <c r="G18" s="45">
        <v>2</v>
      </c>
      <c r="H18" s="65" t="e">
        <f>VLOOKUP(C18,'Sales Master'!B$3:F$936,5,0)</f>
        <v>#N/A</v>
      </c>
      <c r="I18" s="431" t="e">
        <f>VLOOKUP(C18,'Sales Master'!B$3:E$936,4,0)</f>
        <v>#N/A</v>
      </c>
      <c r="J18" s="431"/>
      <c r="K18" s="22" t="e">
        <f>VLOOKUP(C18,'Sales Master'!B$3:CK$527,88,0)</f>
        <v>#N/A</v>
      </c>
      <c r="L18" s="71" t="e">
        <f>K18*G18</f>
        <v>#N/A</v>
      </c>
    </row>
    <row r="19" spans="2:15" ht="20.149999999999999" customHeight="1" x14ac:dyDescent="0.45">
      <c r="B19" s="21"/>
      <c r="C19" s="45" t="s">
        <v>261</v>
      </c>
      <c r="D19" s="550" t="e">
        <f>VLOOKUP(C19,'Sales Master'!B$3:D$316,2,0)</f>
        <v>#N/A</v>
      </c>
      <c r="E19" s="550"/>
      <c r="F19" s="550"/>
      <c r="G19" s="45">
        <v>1</v>
      </c>
      <c r="H19" s="65" t="e">
        <f>VLOOKUP(C19,'Sales Master'!B$3:E$527,4,0)</f>
        <v>#N/A</v>
      </c>
      <c r="I19" s="431" t="e">
        <f>VLOOKUP(C19,'Sales Master'!B$3:F$527,5,0)</f>
        <v>#N/A</v>
      </c>
      <c r="J19" s="431"/>
      <c r="K19" s="22" t="e">
        <f>VLOOKUP(C19,'Sales Master'!B$3:CK$527,88,0)</f>
        <v>#N/A</v>
      </c>
      <c r="L19" s="71" t="e">
        <f>K19*G19</f>
        <v>#N/A</v>
      </c>
    </row>
    <row r="20" spans="2:15" ht="20.149999999999999" customHeight="1" x14ac:dyDescent="0.45">
      <c r="B20" s="21"/>
      <c r="C20" s="45" t="s">
        <v>278</v>
      </c>
      <c r="D20" s="550" t="e">
        <f>VLOOKUP(C20,'Sales Master'!B$3:D$316,2,0)</f>
        <v>#N/A</v>
      </c>
      <c r="E20" s="550"/>
      <c r="F20" s="550"/>
      <c r="G20" s="45">
        <v>6</v>
      </c>
      <c r="H20" s="65" t="e">
        <f>VLOOKUP(C20,'Sales Master'!B$3:E$527,4,0)</f>
        <v>#N/A</v>
      </c>
      <c r="I20" s="431" t="e">
        <f>VLOOKUP(C20,'Sales Master'!B$3:F$527,5,0)</f>
        <v>#N/A</v>
      </c>
      <c r="J20" s="431"/>
      <c r="K20" s="22" t="e">
        <f>VLOOKUP(C20,'Sales Master'!B$3:CK$527,88,0)</f>
        <v>#N/A</v>
      </c>
      <c r="L20" s="71" t="e">
        <f>K20*G20</f>
        <v>#N/A</v>
      </c>
    </row>
    <row r="21" spans="2:15" ht="20.149999999999999" customHeight="1" x14ac:dyDescent="0.45">
      <c r="B21" s="70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5" ht="20.149999999999999" customHeight="1" x14ac:dyDescent="0.45">
      <c r="B22" s="70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5" ht="20.149999999999999" customHeight="1" x14ac:dyDescent="0.45">
      <c r="B23" s="70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5" ht="20.149999999999999" customHeight="1" x14ac:dyDescent="0.45">
      <c r="B24" s="70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5" ht="20.149999999999999" customHeight="1" x14ac:dyDescent="0.45">
      <c r="B25" s="21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5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5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15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71"/>
    </row>
    <row r="29" spans="2:15" ht="20.149999999999999" customHeight="1" x14ac:dyDescent="0.45">
      <c r="B29" s="21"/>
      <c r="C29" s="45"/>
      <c r="D29" s="430"/>
      <c r="E29" s="430"/>
      <c r="F29" s="430"/>
      <c r="G29" s="45"/>
      <c r="H29" s="65"/>
      <c r="I29" s="431"/>
      <c r="J29" s="431"/>
      <c r="K29" s="22"/>
      <c r="L29" s="71"/>
    </row>
    <row r="30" spans="2:15" ht="20.149999999999999" customHeight="1" x14ac:dyDescent="0.45">
      <c r="B30" s="21"/>
      <c r="C30" s="45"/>
      <c r="D30" s="503"/>
      <c r="E30" s="503"/>
      <c r="F30" s="503"/>
      <c r="G30" s="45"/>
      <c r="H30" s="65"/>
      <c r="I30" s="65"/>
      <c r="J30" s="65"/>
      <c r="K30" s="22"/>
      <c r="L30" s="23"/>
    </row>
    <row r="31" spans="2:15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15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2" ht="20.149999999999999" customHeight="1" thickBot="1" x14ac:dyDescent="0.5">
      <c r="B34" s="24"/>
      <c r="C34" s="25"/>
      <c r="D34" s="473"/>
      <c r="E34" s="473"/>
      <c r="F34" s="473"/>
      <c r="G34" s="25"/>
      <c r="H34" s="66"/>
      <c r="I34" s="66"/>
      <c r="J34" s="66"/>
      <c r="K34" s="26"/>
      <c r="L34" s="27"/>
    </row>
    <row r="35" spans="2:12" ht="20.149999999999999" customHeight="1" thickBot="1" x14ac:dyDescent="0.5">
      <c r="B35" s="28"/>
      <c r="L35" s="29"/>
    </row>
    <row r="36" spans="2:12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474" t="s">
        <v>13</v>
      </c>
      <c r="K36" s="475"/>
      <c r="L36" s="30" t="e">
        <f>SUM(L15:L35)</f>
        <v>#N/A</v>
      </c>
    </row>
    <row r="37" spans="2:12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0" t="s">
        <v>553</v>
      </c>
      <c r="K37" s="113">
        <v>6.54E-2</v>
      </c>
      <c r="L37" s="32" t="e">
        <f>L39</f>
        <v>#N/A</v>
      </c>
    </row>
    <row r="38" spans="2:12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476" t="s">
        <v>555</v>
      </c>
      <c r="K38" s="477"/>
      <c r="L38" s="114" t="e">
        <f>L36/107*100</f>
        <v>#N/A</v>
      </c>
    </row>
    <row r="39" spans="2:12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1" t="s">
        <v>554</v>
      </c>
      <c r="K39" s="112">
        <v>7.0000000000000007E-2</v>
      </c>
      <c r="L39" s="44" t="e">
        <f>L38*K39</f>
        <v>#N/A</v>
      </c>
    </row>
    <row r="40" spans="2:12" ht="20.149999999999999" customHeight="1" thickBot="1" x14ac:dyDescent="0.5">
      <c r="B40" s="11" t="s">
        <v>748</v>
      </c>
      <c r="C40" s="10"/>
      <c r="D40" s="10"/>
      <c r="E40" s="10"/>
      <c r="F40" s="10"/>
      <c r="G40" s="10"/>
      <c r="H40" s="10"/>
      <c r="I40" s="10"/>
      <c r="J40" s="478" t="s">
        <v>21</v>
      </c>
      <c r="K40" s="479"/>
      <c r="L40" s="33" t="e">
        <f>SUM(L38:L39)</f>
        <v>#N/A</v>
      </c>
    </row>
    <row r="41" spans="2:12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2" ht="20.149999999999999" customHeight="1" x14ac:dyDescent="0.45">
      <c r="B42" s="183" t="s">
        <v>749</v>
      </c>
      <c r="L42" s="29"/>
    </row>
    <row r="43" spans="2:12" ht="20.149999999999999" customHeight="1" x14ac:dyDescent="0.45">
      <c r="B43" s="28"/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34"/>
      <c r="C46" s="35"/>
      <c r="D46" s="35"/>
      <c r="J46" s="35"/>
      <c r="K46" s="35"/>
      <c r="L46" s="36"/>
    </row>
    <row r="47" spans="2:12" ht="20.149999999999999" customHeight="1" x14ac:dyDescent="0.45">
      <c r="B47" s="28" t="s">
        <v>24</v>
      </c>
      <c r="J47" s="60" t="s">
        <v>25</v>
      </c>
      <c r="L47" s="29"/>
    </row>
    <row r="48" spans="2:12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47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21:F21"/>
    <mergeCell ref="I21:J21"/>
    <mergeCell ref="D20:F20"/>
    <mergeCell ref="I20:J20"/>
    <mergeCell ref="D19:F19"/>
    <mergeCell ref="I19:J19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B1:L8"/>
    <mergeCell ref="J40:K40"/>
    <mergeCell ref="D30:F30"/>
    <mergeCell ref="D31:F31"/>
    <mergeCell ref="D32:F32"/>
    <mergeCell ref="D33:F33"/>
    <mergeCell ref="D34:F34"/>
    <mergeCell ref="J36:K36"/>
    <mergeCell ref="D28:F28"/>
    <mergeCell ref="I28:J28"/>
    <mergeCell ref="D29:F29"/>
    <mergeCell ref="I29:J29"/>
    <mergeCell ref="J38:K38"/>
    <mergeCell ref="D25:F25"/>
    <mergeCell ref="I25:J25"/>
    <mergeCell ref="D26:F26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7ACCC-62A5-4F4E-B25E-95466AFA60F7}">
  <sheetPr codeName="Sheet139">
    <tabColor rgb="FFFF0000"/>
    <pageSetUpPr fitToPage="1"/>
  </sheetPr>
  <dimension ref="B1:P43"/>
  <sheetViews>
    <sheetView topLeftCell="A17" zoomScaleNormal="100" workbookViewId="0">
      <selection activeCell="K27" sqref="K2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1288</v>
      </c>
      <c r="J10" s="17" t="s">
        <v>26</v>
      </c>
      <c r="K10" s="455">
        <v>202205491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Granny's Pancake 面煎糕                     WOODLAND LINK, BLK 17 #01-                 Singapore 600254</v>
      </c>
      <c r="G11" s="445"/>
      <c r="H11" s="446"/>
      <c r="J11" s="18" t="s">
        <v>9</v>
      </c>
      <c r="K11" s="502">
        <v>44711</v>
      </c>
      <c r="L11" s="55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1080</v>
      </c>
      <c r="D18" s="430" t="str">
        <f>VLOOKUP(C18,'Sales Master'!B$3:D$644,2,0)</f>
        <v>Fine Sugar 白糖</v>
      </c>
      <c r="E18" s="430"/>
      <c r="F18" s="430"/>
      <c r="G18" s="45">
        <v>2</v>
      </c>
      <c r="H18" s="241" t="str">
        <f>VLOOKUP(C18,'Sales Master'!B$3:F$936,5,0)</f>
        <v>25 KGS</v>
      </c>
      <c r="I18" s="552" t="str">
        <f>VLOOKUP(C18,'Sales Master'!B$3:E$936,4,0)</f>
        <v>MITR PHOL</v>
      </c>
      <c r="J18" s="552"/>
      <c r="K18" s="22">
        <f>VLOOKUP(C18,'Sales Master'!B$3:N$527,13,0)</f>
        <v>34</v>
      </c>
      <c r="L18" s="71">
        <f>K18*G18</f>
        <v>68</v>
      </c>
      <c r="N18" s="247">
        <f>VLOOKUP(C18,'Sales Master'!$B$3:$FA$3051,156,0)</f>
        <v>26.784000000000002</v>
      </c>
      <c r="O18" s="247">
        <f>K18-N18</f>
        <v>7.2159999999999975</v>
      </c>
      <c r="P18" s="247">
        <f>O18*G18</f>
        <v>14.431999999999995</v>
      </c>
    </row>
    <row r="19" spans="2:16" ht="20.149999999999999" customHeight="1" x14ac:dyDescent="0.45">
      <c r="B19" s="21"/>
      <c r="C19" s="45"/>
      <c r="D19" s="69"/>
      <c r="E19" s="69"/>
      <c r="F19" s="69"/>
      <c r="G19" s="45"/>
      <c r="H19" s="65"/>
      <c r="I19" s="431"/>
      <c r="J19" s="431"/>
      <c r="K19" s="96"/>
      <c r="L19" s="71"/>
      <c r="N19" s="247"/>
      <c r="O19" s="247"/>
      <c r="P19" s="247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  <c r="N20" s="247"/>
      <c r="O20" s="247"/>
      <c r="P20" s="247"/>
    </row>
    <row r="21" spans="2:16" ht="20.149999999999999" customHeight="1" x14ac:dyDescent="0.45">
      <c r="B21" s="21"/>
      <c r="C21" s="274" t="s">
        <v>1307</v>
      </c>
      <c r="D21" s="121"/>
      <c r="E21" s="121"/>
      <c r="F21" s="121"/>
      <c r="G21" s="239"/>
      <c r="H21" s="273"/>
      <c r="I21" s="65"/>
      <c r="J21" s="65"/>
      <c r="K21" s="22"/>
      <c r="L21" s="71"/>
    </row>
    <row r="22" spans="2:16" ht="20.149999999999999" customHeight="1" x14ac:dyDescent="0.45">
      <c r="B22" s="21"/>
      <c r="C22" s="45" t="s">
        <v>1081</v>
      </c>
      <c r="D22" s="430" t="str">
        <f>VLOOKUP(C22,'Sales Master'!B$3:D$702,2,0)</f>
        <v>Fine Sugar 白糖</v>
      </c>
      <c r="E22" s="430"/>
      <c r="F22" s="430"/>
      <c r="G22" s="233">
        <v>1</v>
      </c>
      <c r="H22" s="65" t="str">
        <f>VLOOKUP(C22,'Sales Master'!B$3:F$936,5,0)</f>
        <v>25 KGS</v>
      </c>
      <c r="I22" s="431" t="str">
        <f>VLOOKUP(C22,'Sales Master'!B$3:E$936,4,0)</f>
        <v>SUN</v>
      </c>
      <c r="J22" s="431"/>
      <c r="K22" s="22">
        <v>28</v>
      </c>
      <c r="L22" s="71"/>
    </row>
    <row r="23" spans="2:16" ht="20.149999999999999" customHeight="1" x14ac:dyDescent="0.45">
      <c r="B23" s="21"/>
      <c r="C23" s="99"/>
      <c r="D23" s="130"/>
      <c r="E23" s="130"/>
      <c r="F23" s="130"/>
      <c r="G23" s="99"/>
      <c r="H23" s="65"/>
      <c r="I23" s="65"/>
      <c r="J23" s="65"/>
      <c r="K23" s="22"/>
      <c r="L23" s="71"/>
    </row>
    <row r="24" spans="2:16" ht="20.149999999999999" customHeight="1" x14ac:dyDescent="0.45">
      <c r="B24" s="21"/>
      <c r="C24" s="172" t="s">
        <v>1304</v>
      </c>
      <c r="G24" s="233"/>
      <c r="H24" s="65"/>
      <c r="I24" s="65"/>
      <c r="J24" s="65"/>
      <c r="K24" s="22"/>
      <c r="L24" s="71"/>
    </row>
    <row r="25" spans="2:16" ht="20.149999999999999" customHeight="1" x14ac:dyDescent="0.45">
      <c r="B25" s="21"/>
      <c r="C25" s="45" t="s">
        <v>1080</v>
      </c>
      <c r="D25" s="430" t="str">
        <f>VLOOKUP(C25,'Sales Master'!B$3:D$702,2,0)</f>
        <v>Fine Sugar 白糖</v>
      </c>
      <c r="E25" s="430"/>
      <c r="F25" s="430"/>
      <c r="G25" s="233">
        <v>1</v>
      </c>
      <c r="H25" s="65" t="str">
        <f>VLOOKUP(C25,'Sales Master'!B$3:F$936,5,0)</f>
        <v>25 KGS</v>
      </c>
      <c r="I25" s="431" t="str">
        <f>VLOOKUP(C25,'Sales Master'!B$3:E$936,4,0)</f>
        <v>MITR PHOL</v>
      </c>
      <c r="J25" s="431"/>
      <c r="K25" s="22">
        <v>29</v>
      </c>
      <c r="L25" s="71"/>
    </row>
    <row r="26" spans="2:16" ht="20.149999999999999" customHeight="1" x14ac:dyDescent="0.45">
      <c r="B26" s="70"/>
      <c r="C26" s="45"/>
      <c r="D26" s="430"/>
      <c r="E26" s="430"/>
      <c r="F26" s="430"/>
      <c r="G26" s="233"/>
      <c r="H26" s="65"/>
      <c r="I26" s="431"/>
      <c r="J26" s="431"/>
      <c r="K26" s="22"/>
      <c r="L26" s="71"/>
    </row>
    <row r="27" spans="2:16" ht="20.149999999999999" customHeight="1" x14ac:dyDescent="0.45">
      <c r="B27" s="70"/>
      <c r="C27" s="172" t="s">
        <v>618</v>
      </c>
      <c r="G27" s="233"/>
      <c r="H27" s="65"/>
      <c r="I27" s="65"/>
      <c r="J27" s="65"/>
      <c r="K27" s="22"/>
      <c r="L27" s="71"/>
    </row>
    <row r="28" spans="2:16" ht="20.149999999999999" customHeight="1" x14ac:dyDescent="0.45">
      <c r="B28" s="21"/>
      <c r="C28" s="45" t="s">
        <v>1080</v>
      </c>
      <c r="D28" s="430" t="str">
        <f>VLOOKUP(C28,'Sales Master'!B$3:D$702,2,0)</f>
        <v>Fine Sugar 白糖</v>
      </c>
      <c r="E28" s="430"/>
      <c r="F28" s="430"/>
      <c r="G28" s="233">
        <v>1</v>
      </c>
      <c r="H28" s="65" t="str">
        <f>VLOOKUP(C28,'Sales Master'!B$3:F$936,5,0)</f>
        <v>25 KGS</v>
      </c>
      <c r="I28" s="431" t="str">
        <f>VLOOKUP(C28,'Sales Master'!B$3:E$936,4,0)</f>
        <v>MITR PHOL</v>
      </c>
      <c r="J28" s="431"/>
      <c r="K28" s="22">
        <v>30.5</v>
      </c>
      <c r="L28" s="23"/>
    </row>
    <row r="29" spans="2:16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SUM(L15:L30)</f>
        <v>68</v>
      </c>
      <c r="M31" s="95">
        <f>SUM(P18-L32)</f>
        <v>9.9834018691588735</v>
      </c>
      <c r="N31" s="248">
        <f>M31/L31</f>
        <v>0.14681473336998344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L34</f>
        <v>4.4485981308411215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L31/107*100</f>
        <v>63.551401869158873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7.0000000000000007E-2</v>
      </c>
      <c r="L34" s="44">
        <f>L33*K34</f>
        <v>4.4485981308411215</v>
      </c>
    </row>
    <row r="35" spans="2:12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68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83" t="s">
        <v>749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0">
    <mergeCell ref="I17:J17"/>
    <mergeCell ref="D18:F18"/>
    <mergeCell ref="I18:J18"/>
    <mergeCell ref="D17:F17"/>
    <mergeCell ref="D22:F22"/>
    <mergeCell ref="I22:J22"/>
    <mergeCell ref="I19:J19"/>
    <mergeCell ref="J35:K35"/>
    <mergeCell ref="D25:F25"/>
    <mergeCell ref="I25:J25"/>
    <mergeCell ref="D29:F29"/>
    <mergeCell ref="J31:K31"/>
    <mergeCell ref="J33:K33"/>
    <mergeCell ref="D26:F26"/>
    <mergeCell ref="I26:J26"/>
    <mergeCell ref="D28:F28"/>
    <mergeCell ref="I28:J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4:C28">
    <cfRule type="duplicateValues" dxfId="25" priority="2"/>
  </conditionalFormatting>
  <conditionalFormatting sqref="C25:C26">
    <cfRule type="duplicateValues" dxfId="24" priority="1"/>
  </conditionalFormatting>
  <pageMargins left="0.70866141732283505" right="0.31496062992126" top="0.59055118110236204" bottom="0" header="0.31496062992126" footer="0.31496062992126"/>
  <pageSetup paperSize="9" scale="76" fitToHeight="0" orientation="portrait" horizontalDpi="300" verticalDpi="30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D60B5-41D2-4A70-B8E6-84D79D9DBF2E}">
  <sheetPr codeName="Sheet133">
    <tabColor rgb="FFFF0000"/>
    <pageSetUpPr fitToPage="1"/>
  </sheetPr>
  <dimension ref="B1:P41"/>
  <sheetViews>
    <sheetView topLeftCell="A7" zoomScaleNormal="100" workbookViewId="0">
      <selection activeCell="F11" sqref="F11:H15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8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1294</v>
      </c>
      <c r="J10" s="17" t="s">
        <v>26</v>
      </c>
      <c r="K10" s="455">
        <v>202204274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FOOD MAPPING                                               587 Bukit Timah Road #02-43. Coronation Shopping Plaza Singapore 269707</v>
      </c>
      <c r="G11" s="445"/>
      <c r="H11" s="446"/>
      <c r="J11" s="18" t="s">
        <v>9</v>
      </c>
      <c r="K11" s="502" t="s">
        <v>1292</v>
      </c>
      <c r="L11" s="466"/>
      <c r="N11" s="60" t="s">
        <v>556</v>
      </c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  <c r="N15" s="172" t="s">
        <v>618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70"/>
      <c r="C18" s="45" t="s">
        <v>831</v>
      </c>
      <c r="D18" s="430" t="str">
        <f>VLOOKUP(C18,'Sales Master'!B$3:D$644,2,0)</f>
        <v>Chendol 浆咯</v>
      </c>
      <c r="E18" s="430"/>
      <c r="F18" s="430"/>
      <c r="G18" s="99">
        <v>2</v>
      </c>
      <c r="H18" s="241" t="str">
        <f>VLOOKUP(C18,'Sales Master'!B$3:F$936,5,0)</f>
        <v>NW(2.2:0.8) 3 KGS/ Bag</v>
      </c>
      <c r="I18" s="432" t="str">
        <f>VLOOKUP(C18,'Sales Master'!B$3:E$936,4,0)</f>
        <v>DO!</v>
      </c>
      <c r="J18" s="432"/>
      <c r="K18" s="96">
        <v>8</v>
      </c>
      <c r="L18" s="71">
        <f t="shared" ref="L18:L23" si="0">K18*G18</f>
        <v>16</v>
      </c>
      <c r="N18" s="247">
        <f>VLOOKUP(C18,'Sales Master'!$B$3:$FA$3051,156,0)</f>
        <v>2.44</v>
      </c>
      <c r="O18" s="247">
        <f t="shared" ref="O18:O23" si="1">K18-N18</f>
        <v>5.5600000000000005</v>
      </c>
      <c r="P18" s="247">
        <f t="shared" ref="P18:P23" si="2">O18*G18</f>
        <v>11.120000000000001</v>
      </c>
    </row>
    <row r="19" spans="2:16" ht="20.149999999999999" customHeight="1" x14ac:dyDescent="0.45">
      <c r="B19" s="70"/>
      <c r="C19" s="45" t="s">
        <v>918</v>
      </c>
      <c r="D19" s="430" t="str">
        <f>VLOOKUP(C19,'Sales Master'!B$3:D$644,2,0)</f>
        <v>Chin Chow 仙草</v>
      </c>
      <c r="E19" s="430"/>
      <c r="F19" s="430"/>
      <c r="G19" s="99">
        <v>2</v>
      </c>
      <c r="H19" s="241" t="str">
        <f>VLOOKUP(C19,'Sales Master'!B$3:F$936,5,0)</f>
        <v>5KGS/PKT</v>
      </c>
      <c r="I19" s="541" t="str">
        <f>VLOOKUP(C19,'Sales Master'!B$3:E$936,4,0)</f>
        <v>TSM</v>
      </c>
      <c r="J19" s="541"/>
      <c r="K19" s="96">
        <f>VLOOKUP(C19,'Sales Master'!B$3:BV$527,73,0)</f>
        <v>0</v>
      </c>
      <c r="L19" s="71">
        <f t="shared" si="0"/>
        <v>0</v>
      </c>
      <c r="N19" s="247">
        <f>VLOOKUP(C19,'Sales Master'!$B$3:$FA$3051,156,0)</f>
        <v>4.32</v>
      </c>
      <c r="O19" s="247">
        <f t="shared" si="1"/>
        <v>-4.32</v>
      </c>
      <c r="P19" s="247">
        <f t="shared" si="2"/>
        <v>-8.64</v>
      </c>
    </row>
    <row r="20" spans="2:16" ht="20.149999999999999" customHeight="1" x14ac:dyDescent="0.45">
      <c r="B20" s="70"/>
      <c r="C20" s="45" t="s">
        <v>1041</v>
      </c>
      <c r="D20" s="430" t="str">
        <f>VLOOKUP(C20,'Sales Master'!B$3:D$644,2,0)</f>
        <v>Canned Red Bean 罐头红豆</v>
      </c>
      <c r="E20" s="430"/>
      <c r="F20" s="430"/>
      <c r="G20" s="99">
        <v>2</v>
      </c>
      <c r="H20" s="241" t="str">
        <f>VLOOKUP(C20,'Sales Master'!B$3:F$936,5,0)</f>
        <v xml:space="preserve">3.3KG/Can </v>
      </c>
      <c r="I20" s="432" t="str">
        <f>VLOOKUP(C20,'Sales Master'!B$3:E$936,4,0)</f>
        <v>Joy</v>
      </c>
      <c r="J20" s="432"/>
      <c r="K20" s="96">
        <v>15</v>
      </c>
      <c r="L20" s="71">
        <f t="shared" si="0"/>
        <v>30</v>
      </c>
      <c r="N20" s="247">
        <f>VLOOKUP(C20,'Sales Master'!$B$3:$FA$3051,156,0)</f>
        <v>8.3333333333333339</v>
      </c>
      <c r="O20" s="247">
        <f t="shared" si="1"/>
        <v>6.6666666666666661</v>
      </c>
      <c r="P20" s="247">
        <f t="shared" si="2"/>
        <v>13.333333333333332</v>
      </c>
    </row>
    <row r="21" spans="2:16" ht="20.149999999999999" customHeight="1" x14ac:dyDescent="0.45">
      <c r="B21" s="70"/>
      <c r="C21" s="45" t="s">
        <v>1045</v>
      </c>
      <c r="D21" s="430" t="str">
        <f>VLOOKUP(C21,'Sales Master'!B$3:D$644,2,0)</f>
        <v>Carnation Milk 三花淡奶水</v>
      </c>
      <c r="E21" s="430"/>
      <c r="F21" s="430"/>
      <c r="G21" s="99">
        <v>12</v>
      </c>
      <c r="H21" s="241" t="str">
        <f>VLOOKUP(C21,'Sales Master'!B$3:F$936,5,0)</f>
        <v>405gm/can/罐</v>
      </c>
      <c r="I21" s="432" t="str">
        <f>VLOOKUP(C21,'Sales Master'!B$3:E$936,4,0)</f>
        <v>Threeflower</v>
      </c>
      <c r="J21" s="432"/>
      <c r="K21" s="96">
        <v>1.25</v>
      </c>
      <c r="L21" s="71">
        <f t="shared" si="0"/>
        <v>15</v>
      </c>
      <c r="N21" s="247">
        <f>VLOOKUP(C21,'Sales Master'!$B$3:$FA$3051,156,0)</f>
        <v>1.0833333333333333</v>
      </c>
      <c r="O21" s="247">
        <f t="shared" si="1"/>
        <v>0.16666666666666674</v>
      </c>
      <c r="P21" s="247">
        <f t="shared" si="2"/>
        <v>2.0000000000000009</v>
      </c>
    </row>
    <row r="22" spans="2:16" ht="20.149999999999999" customHeight="1" x14ac:dyDescent="0.45">
      <c r="B22" s="70"/>
      <c r="C22" s="45" t="s">
        <v>818</v>
      </c>
      <c r="D22" s="430" t="str">
        <f>VLOOKUP(C22,'Sales Master'!B$3:D$644,2,0)</f>
        <v xml:space="preserve">Fresh Soursop 红毛榴莲 </v>
      </c>
      <c r="E22" s="430"/>
      <c r="F22" s="430"/>
      <c r="G22" s="99">
        <v>1</v>
      </c>
      <c r="H22" s="241" t="str">
        <f>VLOOKUP(C22,'Sales Master'!B$3:F$936,5,0)</f>
        <v>1 KG/ Box盒</v>
      </c>
      <c r="I22" s="432" t="str">
        <f>VLOOKUP(C22,'Sales Master'!B$3:E$936,4,0)</f>
        <v>DO!</v>
      </c>
      <c r="J22" s="432"/>
      <c r="K22" s="96">
        <v>8</v>
      </c>
      <c r="L22" s="71">
        <f t="shared" si="0"/>
        <v>8</v>
      </c>
      <c r="N22" s="247">
        <f>VLOOKUP(C22,'Sales Master'!$B$3:$FA$3051,156,0)</f>
        <v>5.0939999999999994</v>
      </c>
      <c r="O22" s="247">
        <f t="shared" si="1"/>
        <v>2.9060000000000006</v>
      </c>
      <c r="P22" s="247">
        <f t="shared" si="2"/>
        <v>2.9060000000000006</v>
      </c>
    </row>
    <row r="23" spans="2:16" ht="20.149999999999999" customHeight="1" x14ac:dyDescent="0.45">
      <c r="B23" s="70"/>
      <c r="C23" s="45" t="s">
        <v>1020</v>
      </c>
      <c r="D23" s="430" t="str">
        <f>VLOOKUP(C23,'Sales Master'!B$3:D$644,2,0)</f>
        <v>Sea Coconut 海底椰</v>
      </c>
      <c r="E23" s="430"/>
      <c r="F23" s="430"/>
      <c r="G23" s="99">
        <v>1</v>
      </c>
      <c r="H23" s="241" t="str">
        <f>VLOOKUP(C23,'Sales Master'!B$3:F$936,5,0)</f>
        <v>1 Can X A10</v>
      </c>
      <c r="I23" s="432" t="str">
        <f>VLOOKUP(C23,'Sales Master'!B$3:E$936,4,0)</f>
        <v>Chefs</v>
      </c>
      <c r="J23" s="432"/>
      <c r="K23" s="96">
        <v>19</v>
      </c>
      <c r="L23" s="71">
        <f t="shared" si="0"/>
        <v>19</v>
      </c>
      <c r="N23" s="247">
        <f>VLOOKUP(C23,'Sales Master'!$B$3:$FA$3051,156,0)</f>
        <v>14.333333333333334</v>
      </c>
      <c r="O23" s="247">
        <f t="shared" si="1"/>
        <v>4.6666666666666661</v>
      </c>
      <c r="P23" s="247">
        <f t="shared" si="2"/>
        <v>4.6666666666666661</v>
      </c>
    </row>
    <row r="24" spans="2:16" ht="20.149999999999999" customHeight="1" x14ac:dyDescent="0.45">
      <c r="B24" s="70"/>
      <c r="C24" s="45"/>
      <c r="D24" s="430"/>
      <c r="E24" s="430"/>
      <c r="F24" s="430"/>
      <c r="G24" s="99"/>
      <c r="H24" s="65"/>
      <c r="I24" s="431"/>
      <c r="J24" s="431"/>
      <c r="K24" s="96"/>
      <c r="L24" s="98"/>
      <c r="N24" s="258"/>
      <c r="O24" s="258"/>
      <c r="P24" s="258"/>
    </row>
    <row r="25" spans="2:16" ht="20.149999999999999" customHeight="1" x14ac:dyDescent="0.45">
      <c r="B25" s="21"/>
      <c r="C25" s="45"/>
      <c r="D25" s="430"/>
      <c r="E25" s="430"/>
      <c r="F25" s="430"/>
      <c r="G25" s="99"/>
      <c r="H25" s="65"/>
      <c r="I25" s="431"/>
      <c r="J25" s="431"/>
      <c r="K25" s="96"/>
      <c r="L25" s="71"/>
    </row>
    <row r="26" spans="2:16" ht="20.149999999999999" customHeight="1" x14ac:dyDescent="0.45">
      <c r="B26" s="21"/>
      <c r="C26" s="45"/>
      <c r="D26" s="430"/>
      <c r="E26" s="430"/>
      <c r="F26" s="430"/>
      <c r="G26" s="99"/>
      <c r="H26" s="65"/>
      <c r="I26" s="431"/>
      <c r="J26" s="431"/>
      <c r="K26" s="96"/>
      <c r="L26" s="71"/>
    </row>
    <row r="27" spans="2:16" ht="20.149999999999999" customHeight="1" thickBot="1" x14ac:dyDescent="0.5">
      <c r="B27" s="24"/>
      <c r="C27" s="25"/>
      <c r="D27" s="73"/>
      <c r="E27" s="73"/>
      <c r="F27" s="73"/>
      <c r="G27" s="25"/>
      <c r="H27" s="66"/>
      <c r="I27" s="540"/>
      <c r="J27" s="540"/>
      <c r="K27" s="26"/>
      <c r="L27" s="74"/>
    </row>
    <row r="28" spans="2:16" ht="20.149999999999999" customHeight="1" thickBot="1" x14ac:dyDescent="0.5">
      <c r="B28" s="28"/>
      <c r="L28" s="29"/>
    </row>
    <row r="29" spans="2:16" ht="20.149999999999999" customHeight="1" x14ac:dyDescent="0.45">
      <c r="B29" s="11" t="s">
        <v>16</v>
      </c>
      <c r="C29" s="10"/>
      <c r="D29" s="10"/>
      <c r="E29" s="10"/>
      <c r="F29" s="10"/>
      <c r="G29" s="10"/>
      <c r="H29" s="10"/>
      <c r="I29" s="10"/>
      <c r="J29" s="474" t="s">
        <v>13</v>
      </c>
      <c r="K29" s="475"/>
      <c r="L29" s="30">
        <f>SUM(L17:L28)</f>
        <v>88</v>
      </c>
      <c r="M29" s="95">
        <f>SUM(P18:P27)-L30</f>
        <v>25.385999999999996</v>
      </c>
      <c r="N29" s="248">
        <f>M29/L29</f>
        <v>0.28847727272727269</v>
      </c>
    </row>
    <row r="30" spans="2:16" ht="20.149999999999999" customHeight="1" x14ac:dyDescent="0.45">
      <c r="B30" s="11" t="s">
        <v>17</v>
      </c>
      <c r="C30" s="10"/>
      <c r="D30" s="10"/>
      <c r="E30" s="10"/>
      <c r="F30" s="10"/>
      <c r="G30" s="10"/>
      <c r="H30" s="10"/>
      <c r="I30" s="10"/>
      <c r="J30" s="110" t="s">
        <v>553</v>
      </c>
      <c r="K30" s="113">
        <v>6.54E-2</v>
      </c>
      <c r="L30" s="32"/>
    </row>
    <row r="31" spans="2:16" ht="20.149999999999999" customHeight="1" x14ac:dyDescent="0.45">
      <c r="B31" s="11" t="s">
        <v>18</v>
      </c>
      <c r="C31" s="10"/>
      <c r="D31" s="10"/>
      <c r="E31" s="10"/>
      <c r="F31" s="10"/>
      <c r="G31" s="10"/>
      <c r="H31" s="10"/>
      <c r="I31" s="10"/>
      <c r="J31" s="476" t="s">
        <v>555</v>
      </c>
      <c r="K31" s="477"/>
      <c r="L31" s="114">
        <f>L29</f>
        <v>88</v>
      </c>
    </row>
    <row r="32" spans="2:16" ht="20.149999999999999" customHeight="1" x14ac:dyDescent="0.45">
      <c r="B32" s="11" t="s">
        <v>22</v>
      </c>
      <c r="C32" s="10"/>
      <c r="D32" s="10"/>
      <c r="E32" s="10"/>
      <c r="F32" s="10"/>
      <c r="G32" s="10"/>
      <c r="H32" s="10"/>
      <c r="I32" s="10"/>
      <c r="J32" s="111" t="s">
        <v>554</v>
      </c>
      <c r="K32" s="112">
        <v>7.0000000000000007E-2</v>
      </c>
      <c r="L32" s="44">
        <f>L31*K32</f>
        <v>6.16</v>
      </c>
    </row>
    <row r="33" spans="2:12" ht="20.149999999999999" customHeight="1" thickBot="1" x14ac:dyDescent="0.5">
      <c r="B33" s="11" t="s">
        <v>748</v>
      </c>
      <c r="C33" s="10"/>
      <c r="D33" s="10"/>
      <c r="E33" s="10"/>
      <c r="F33" s="10"/>
      <c r="G33" s="10"/>
      <c r="H33" s="10"/>
      <c r="I33" s="10"/>
      <c r="J33" s="478" t="s">
        <v>21</v>
      </c>
      <c r="K33" s="479"/>
      <c r="L33" s="33">
        <f>L31+L32</f>
        <v>94.16</v>
      </c>
    </row>
    <row r="34" spans="2:12" ht="20.149999999999999" customHeight="1" x14ac:dyDescent="0.45">
      <c r="B34" s="11" t="s">
        <v>23</v>
      </c>
      <c r="C34" s="10"/>
      <c r="D34" s="10"/>
      <c r="E34" s="10"/>
      <c r="F34" s="10"/>
      <c r="G34" s="10"/>
      <c r="H34" s="10"/>
      <c r="I34" s="10"/>
      <c r="L34" s="29"/>
    </row>
    <row r="35" spans="2:12" ht="20.149999999999999" customHeight="1" x14ac:dyDescent="0.45">
      <c r="B35" s="183" t="s">
        <v>749</v>
      </c>
      <c r="L35" s="29"/>
    </row>
    <row r="36" spans="2:12" ht="20.149999999999999" customHeight="1" x14ac:dyDescent="0.45">
      <c r="B36" s="28"/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34"/>
      <c r="C39" s="35"/>
      <c r="D39" s="35"/>
      <c r="J39" s="35"/>
      <c r="K39" s="35"/>
      <c r="L39" s="36"/>
    </row>
    <row r="40" spans="2:12" ht="20.149999999999999" customHeight="1" x14ac:dyDescent="0.45">
      <c r="B40" s="28" t="s">
        <v>24</v>
      </c>
      <c r="J40" s="60" t="s">
        <v>25</v>
      </c>
      <c r="L40" s="29"/>
    </row>
    <row r="41" spans="2:12" ht="19" thickBot="1" x14ac:dyDescent="0.5">
      <c r="B41" s="37"/>
      <c r="C41" s="62"/>
      <c r="D41" s="62"/>
      <c r="E41" s="62"/>
      <c r="F41" s="62"/>
      <c r="G41" s="62"/>
      <c r="H41" s="62"/>
      <c r="I41" s="62"/>
      <c r="J41" s="62"/>
      <c r="K41" s="62"/>
      <c r="L41" s="38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1:K31"/>
    <mergeCell ref="J33:K33"/>
    <mergeCell ref="D25:F25"/>
    <mergeCell ref="I25:J25"/>
    <mergeCell ref="D26:F26"/>
    <mergeCell ref="I26:J26"/>
    <mergeCell ref="I27:J27"/>
    <mergeCell ref="J29:K29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43C49-A8F7-48E2-830E-D045F31983D2}">
  <sheetPr codeName="Sheet17">
    <tabColor rgb="FFFF0000"/>
    <pageSetUpPr fitToPage="1"/>
  </sheetPr>
  <dimension ref="B1:P48"/>
  <sheetViews>
    <sheetView workbookViewId="0">
      <selection activeCell="B1" sqref="B1:L4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3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575</v>
      </c>
      <c r="J10" s="17" t="s">
        <v>26</v>
      </c>
      <c r="K10" s="455">
        <v>202203272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 xml:space="preserve">Whampoa Soya Bean                            Blk 221B Boon Lay Hawker Centre. #01-133 </v>
      </c>
      <c r="G11" s="445"/>
      <c r="H11" s="446"/>
      <c r="J11" s="18" t="s">
        <v>9</v>
      </c>
      <c r="K11" s="502" t="s">
        <v>1242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122" t="s">
        <v>3</v>
      </c>
      <c r="D17" s="553" t="s">
        <v>4</v>
      </c>
      <c r="E17" s="553"/>
      <c r="F17" s="553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1087</v>
      </c>
      <c r="D18" s="430" t="str">
        <f>VLOOKUP(C18,'Sales Master'!B$3:D$642,2,0)</f>
        <v>Coconut Sugar 椰糖</v>
      </c>
      <c r="E18" s="430"/>
      <c r="F18" s="430"/>
      <c r="G18" s="45">
        <v>4</v>
      </c>
      <c r="H18" s="241" t="str">
        <f>VLOOKUP(C18,'Sales Master'!B$3:F$936,5,0)</f>
        <v>10kgs/ctn</v>
      </c>
      <c r="I18" s="432" t="str">
        <f>VLOOKUP(C18,'Sales Master'!B$3:E$936,4,0)</f>
        <v>Indonesia</v>
      </c>
      <c r="J18" s="432"/>
      <c r="K18" s="22">
        <f>VLOOKUP(C18,'Sales Master'!B$3:EF$536,135,0)</f>
        <v>33</v>
      </c>
      <c r="L18" s="23">
        <f>K18*G18</f>
        <v>132</v>
      </c>
      <c r="N18" s="247">
        <f>VLOOKUP(C18,'Sales Master'!$B$3:$FA$3051,156,0)</f>
        <v>29</v>
      </c>
      <c r="O18" s="247">
        <f>K18-N18</f>
        <v>4</v>
      </c>
      <c r="P18" s="247">
        <f>O18*G18</f>
        <v>16</v>
      </c>
    </row>
    <row r="19" spans="2:16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23"/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23"/>
    </row>
    <row r="21" spans="2:16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23"/>
    </row>
    <row r="22" spans="2:16" ht="20.149999999999999" customHeight="1" x14ac:dyDescent="0.45">
      <c r="B22" s="21"/>
      <c r="C22" s="45"/>
      <c r="D22" s="503"/>
      <c r="E22" s="503"/>
      <c r="F22" s="503"/>
      <c r="G22" s="45"/>
      <c r="H22" s="65"/>
      <c r="I22" s="431"/>
      <c r="J22" s="431"/>
      <c r="K22" s="22"/>
      <c r="L22" s="23"/>
    </row>
    <row r="23" spans="2:16" ht="20.149999999999999" customHeight="1" x14ac:dyDescent="0.45">
      <c r="B23" s="21"/>
      <c r="C23" s="45"/>
      <c r="D23" s="503"/>
      <c r="E23" s="503"/>
      <c r="F23" s="503"/>
      <c r="G23" s="45"/>
      <c r="H23" s="65"/>
      <c r="I23" s="431"/>
      <c r="J23" s="431"/>
      <c r="K23" s="22"/>
      <c r="L23" s="23"/>
    </row>
    <row r="24" spans="2:16" ht="20.149999999999999" customHeight="1" x14ac:dyDescent="0.45">
      <c r="B24" s="21"/>
      <c r="C24" s="45"/>
      <c r="D24" s="503"/>
      <c r="E24" s="503"/>
      <c r="F24" s="503"/>
      <c r="G24" s="45"/>
      <c r="H24" s="65"/>
      <c r="I24" s="431"/>
      <c r="J24" s="431"/>
      <c r="K24" s="22"/>
      <c r="L24" s="23"/>
    </row>
    <row r="25" spans="2:16" ht="20.149999999999999" customHeight="1" x14ac:dyDescent="0.45">
      <c r="B25" s="21"/>
      <c r="C25" s="45"/>
      <c r="D25" s="503"/>
      <c r="E25" s="503"/>
      <c r="F25" s="503"/>
      <c r="G25" s="45"/>
      <c r="H25" s="65"/>
      <c r="I25" s="431"/>
      <c r="J25" s="431"/>
      <c r="K25" s="22"/>
      <c r="L25" s="23"/>
    </row>
    <row r="26" spans="2:16" ht="20.149999999999999" customHeight="1" x14ac:dyDescent="0.45">
      <c r="B26" s="21"/>
      <c r="C26" s="45"/>
      <c r="D26" s="503"/>
      <c r="E26" s="503"/>
      <c r="F26" s="503"/>
      <c r="G26" s="45"/>
      <c r="H26" s="65"/>
      <c r="I26" s="431"/>
      <c r="J26" s="431"/>
      <c r="K26" s="22"/>
      <c r="L26" s="23"/>
    </row>
    <row r="27" spans="2:16" ht="20.149999999999999" customHeight="1" x14ac:dyDescent="0.45">
      <c r="B27" s="21"/>
      <c r="C27" s="45"/>
      <c r="D27" s="503"/>
      <c r="E27" s="503"/>
      <c r="F27" s="503"/>
      <c r="G27" s="45"/>
      <c r="H27" s="65"/>
      <c r="I27" s="431"/>
      <c r="J27" s="431"/>
      <c r="K27" s="22"/>
      <c r="L27" s="23"/>
    </row>
    <row r="28" spans="2:16" ht="20.149999999999999" customHeight="1" x14ac:dyDescent="0.45">
      <c r="B28" s="21"/>
      <c r="C28" s="45"/>
      <c r="D28" s="503"/>
      <c r="E28" s="503"/>
      <c r="F28" s="503"/>
      <c r="G28" s="45"/>
      <c r="H28" s="65"/>
      <c r="I28" s="431"/>
      <c r="J28" s="431"/>
      <c r="K28" s="22"/>
      <c r="L28" s="23"/>
    </row>
    <row r="29" spans="2:16" ht="20.149999999999999" customHeight="1" x14ac:dyDescent="0.45">
      <c r="B29" s="21"/>
      <c r="C29" s="45"/>
      <c r="D29" s="503"/>
      <c r="E29" s="503"/>
      <c r="F29" s="503"/>
      <c r="G29" s="45"/>
      <c r="H29" s="65"/>
      <c r="I29" s="431"/>
      <c r="J29" s="431"/>
      <c r="K29" s="22"/>
      <c r="L29" s="23"/>
    </row>
    <row r="30" spans="2:16" ht="20.149999999999999" customHeight="1" x14ac:dyDescent="0.45">
      <c r="B30" s="21"/>
      <c r="C30" s="45"/>
      <c r="D30" s="503"/>
      <c r="E30" s="503"/>
      <c r="F30" s="503"/>
      <c r="G30" s="45"/>
      <c r="H30" s="65"/>
      <c r="I30" s="65"/>
      <c r="J30" s="65"/>
      <c r="K30" s="22"/>
      <c r="L30" s="23"/>
    </row>
    <row r="31" spans="2:16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16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4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4" ht="20.149999999999999" customHeight="1" thickBot="1" x14ac:dyDescent="0.5">
      <c r="B34" s="24"/>
      <c r="C34" s="25"/>
      <c r="D34" s="473"/>
      <c r="E34" s="473"/>
      <c r="F34" s="473"/>
      <c r="G34" s="25"/>
      <c r="H34" s="66"/>
      <c r="I34" s="66"/>
      <c r="J34" s="66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474" t="s">
        <v>13</v>
      </c>
      <c r="K36" s="475"/>
      <c r="L36" s="30">
        <f>SUM(L17:L35)</f>
        <v>132</v>
      </c>
      <c r="M36" s="95">
        <f>SUM(P12:P34)-L37</f>
        <v>7.3644859813084107</v>
      </c>
      <c r="N36" s="248">
        <f>M36/L36</f>
        <v>5.5791560464457657E-2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0" t="s">
        <v>553</v>
      </c>
      <c r="K37" s="113">
        <v>6.54E-2</v>
      </c>
      <c r="L37" s="32">
        <f>L39</f>
        <v>8.6355140186915893</v>
      </c>
    </row>
    <row r="38" spans="2:14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476" t="s">
        <v>555</v>
      </c>
      <c r="K38" s="477"/>
      <c r="L38" s="114">
        <f>L36/107*100</f>
        <v>123.36448598130841</v>
      </c>
    </row>
    <row r="39" spans="2:14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1" t="s">
        <v>554</v>
      </c>
      <c r="K39" s="112">
        <v>7.0000000000000007E-2</v>
      </c>
      <c r="L39" s="44">
        <f>L38*K39</f>
        <v>8.6355140186915893</v>
      </c>
    </row>
    <row r="40" spans="2:14" ht="20.149999999999999" customHeight="1" thickBot="1" x14ac:dyDescent="0.5">
      <c r="B40" s="11" t="s">
        <v>748</v>
      </c>
      <c r="C40" s="10"/>
      <c r="D40" s="10"/>
      <c r="E40" s="10"/>
      <c r="F40" s="10"/>
      <c r="G40" s="10"/>
      <c r="H40" s="10"/>
      <c r="I40" s="10"/>
      <c r="J40" s="478" t="s">
        <v>21</v>
      </c>
      <c r="K40" s="479"/>
      <c r="L40" s="33">
        <f>L38+L39</f>
        <v>132</v>
      </c>
    </row>
    <row r="41" spans="2:14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83" t="s">
        <v>749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24</v>
      </c>
      <c r="J47" s="60" t="s">
        <v>25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40:K40"/>
    <mergeCell ref="D28:F28"/>
    <mergeCell ref="I28:J28"/>
    <mergeCell ref="D29:F29"/>
    <mergeCell ref="I29:J29"/>
    <mergeCell ref="D30:F30"/>
    <mergeCell ref="D31:F31"/>
    <mergeCell ref="D32:F32"/>
    <mergeCell ref="D33:F33"/>
    <mergeCell ref="D34:F34"/>
    <mergeCell ref="J36:K36"/>
    <mergeCell ref="J38:K38"/>
  </mergeCells>
  <printOptions horizontalCentered="1"/>
  <pageMargins left="0.70866141732283505" right="0.31496062992126" top="0.59055118110236204" bottom="0" header="0.31496062992126" footer="0.31496062992126"/>
  <pageSetup paperSize="9" scale="75" fitToHeight="0" orientation="portrait" horizontalDpi="300" verticalDpi="3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61B8B-9DD9-4BDD-B3AB-2E5D46D8D691}">
  <sheetPr codeName="Sheet27">
    <tabColor rgb="FFFF0000"/>
    <pageSetUpPr fitToPage="1"/>
  </sheetPr>
  <dimension ref="B1:T51"/>
  <sheetViews>
    <sheetView topLeftCell="B1" zoomScaleNormal="100" workbookViewId="0">
      <selection activeCell="B11" sqref="B11:D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507</v>
      </c>
      <c r="J10" s="17" t="s">
        <v>26</v>
      </c>
      <c r="K10" s="455">
        <v>202211070</v>
      </c>
      <c r="L10" s="456"/>
    </row>
    <row r="11" spans="2:12" ht="20.149999999999999" customHeight="1" x14ac:dyDescent="0.45">
      <c r="B11" s="457" t="s">
        <v>1161</v>
      </c>
      <c r="C11" s="458"/>
      <c r="D11" s="459"/>
      <c r="E11" s="61"/>
      <c r="F11" s="444" t="str">
        <f>VLOOKUP(H10,'Delivery Location'!A$4:N$423,2,0)</f>
        <v>MICRON CANTEEN                                    1 North Coast Drive, Micron Gate 5 Singapore 757432</v>
      </c>
      <c r="G11" s="445"/>
      <c r="H11" s="446"/>
      <c r="J11" s="18" t="s">
        <v>9</v>
      </c>
      <c r="K11" s="460">
        <v>44868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139" t="s">
        <v>620</v>
      </c>
      <c r="L15" s="138"/>
    </row>
    <row r="16" spans="2:12" ht="19" thickBot="1" x14ac:dyDescent="0.5">
      <c r="J16" s="45"/>
    </row>
    <row r="17" spans="2:20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0" ht="20.149999999999999" customHeight="1" x14ac:dyDescent="0.45">
      <c r="B18" s="21"/>
      <c r="C18" s="45" t="s">
        <v>924</v>
      </c>
      <c r="D18" s="430" t="str">
        <f>VLOOKUP(C18,'Sales Master'!B$3:D$2223,2,0)</f>
        <v>Red Bean 红豆</v>
      </c>
      <c r="E18" s="430"/>
      <c r="F18" s="430"/>
      <c r="G18" s="99">
        <v>1</v>
      </c>
      <c r="H18" s="241" t="str">
        <f>VLOOKUP(C18,'Sales Master'!B$3:F$936,5,0)</f>
        <v>5 kgs</v>
      </c>
      <c r="I18" s="432" t="str">
        <f>VLOOKUP(C18,'Sales Master'!B$3:E$936,4,0)</f>
        <v>-</v>
      </c>
      <c r="J18" s="432"/>
      <c r="K18" s="22">
        <f>VLOOKUP(C18,'Sales Master'!B$8:CZ$936,103,0)</f>
        <v>21</v>
      </c>
      <c r="L18" s="71">
        <f t="shared" ref="L18:L23" si="0">K18*G18</f>
        <v>21</v>
      </c>
      <c r="N18" s="247">
        <f>VLOOKUP(C18,'Sales Master'!$B$3:$FA$3051,156,0)</f>
        <v>13.5</v>
      </c>
      <c r="O18" s="247">
        <f t="shared" ref="O18:O23" si="1">K18-N18</f>
        <v>7.5</v>
      </c>
      <c r="P18" s="247">
        <f t="shared" ref="P18:P23" si="2">O18*G18</f>
        <v>7.5</v>
      </c>
    </row>
    <row r="19" spans="2:20" ht="20.149999999999999" customHeight="1" x14ac:dyDescent="0.45">
      <c r="B19" s="21"/>
      <c r="C19" s="45" t="s">
        <v>937</v>
      </c>
      <c r="D19" s="430" t="str">
        <f>VLOOKUP(C19,'Sales Master'!B$3:D$2223,2,0)</f>
        <v>Green Bean 绿豆</v>
      </c>
      <c r="E19" s="430"/>
      <c r="F19" s="430"/>
      <c r="G19" s="99">
        <v>1</v>
      </c>
      <c r="H19" s="241" t="str">
        <f>VLOOKUP(C19,'Sales Master'!B$3:F$936,5,0)</f>
        <v>5 KGS</v>
      </c>
      <c r="I19" s="432" t="str">
        <f>VLOOKUP(C19,'Sales Master'!B$3:E$936,4,0)</f>
        <v>-</v>
      </c>
      <c r="J19" s="432"/>
      <c r="K19" s="22">
        <f>VLOOKUP(C19,'Sales Master'!B$8:CZ$936,103,0)</f>
        <v>14</v>
      </c>
      <c r="L19" s="71">
        <f t="shared" si="0"/>
        <v>14</v>
      </c>
      <c r="N19" s="247">
        <f>VLOOKUP(C19,'Sales Master'!$B$3:$FA$3051,156,0)</f>
        <v>9.7199999999999989</v>
      </c>
      <c r="O19" s="247">
        <f t="shared" si="1"/>
        <v>4.2800000000000011</v>
      </c>
      <c r="P19" s="247">
        <f t="shared" si="2"/>
        <v>4.2800000000000011</v>
      </c>
    </row>
    <row r="20" spans="2:20" ht="20.149999999999999" customHeight="1" x14ac:dyDescent="0.45">
      <c r="B20" s="21"/>
      <c r="C20" s="45" t="s">
        <v>943</v>
      </c>
      <c r="D20" s="430" t="str">
        <f>VLOOKUP(C20,'Sales Master'!B$3:D$2223,2,0)</f>
        <v>Split Green Mung Bean 豆爽</v>
      </c>
      <c r="E20" s="430"/>
      <c r="F20" s="430"/>
      <c r="G20" s="99">
        <v>1</v>
      </c>
      <c r="H20" s="241" t="str">
        <f>VLOOKUP(C20,'Sales Master'!B$3:F$936,5,0)</f>
        <v>5 KG</v>
      </c>
      <c r="I20" s="432" t="str">
        <f>VLOOKUP(C20,'Sales Master'!B$3:E$936,4,0)</f>
        <v>SW</v>
      </c>
      <c r="J20" s="432"/>
      <c r="K20" s="22">
        <f>VLOOKUP(C20,'Sales Master'!B$8:CZ$936,103,0)</f>
        <v>17</v>
      </c>
      <c r="L20" s="71">
        <f t="shared" ref="L20" si="3">K20*G20</f>
        <v>17</v>
      </c>
      <c r="N20" s="247">
        <f>VLOOKUP(C20,'Sales Master'!$B$3:$FA$3051,156,0)</f>
        <v>14.040000000000001</v>
      </c>
      <c r="O20" s="247">
        <f t="shared" ref="O20" si="4">K20-N20</f>
        <v>2.9599999999999991</v>
      </c>
      <c r="P20" s="247">
        <f t="shared" ref="P20" si="5">O20*G20</f>
        <v>2.9599999999999991</v>
      </c>
    </row>
    <row r="21" spans="2:20" ht="20.149999999999999" customHeight="1" x14ac:dyDescent="0.45">
      <c r="B21" s="21"/>
      <c r="C21" s="45" t="s">
        <v>949</v>
      </c>
      <c r="D21" s="430" t="str">
        <f>VLOOKUP(C21,'Sales Master'!B$3:D$2223,2,0)</f>
        <v>Black Glutinous Rice 黑糯米</v>
      </c>
      <c r="E21" s="430"/>
      <c r="F21" s="430"/>
      <c r="G21" s="99">
        <v>1</v>
      </c>
      <c r="H21" s="241" t="str">
        <f>VLOOKUP(C21,'Sales Master'!B$3:F$936,5,0)</f>
        <v>5 kgs</v>
      </c>
      <c r="I21" s="432" t="str">
        <f>VLOOKUP(C21,'Sales Master'!B$3:E$936,4,0)</f>
        <v>-</v>
      </c>
      <c r="J21" s="432"/>
      <c r="K21" s="22">
        <f>VLOOKUP(C21,'Sales Master'!B$8:CZ$936,103,0)</f>
        <v>18</v>
      </c>
      <c r="L21" s="71">
        <f t="shared" si="0"/>
        <v>18</v>
      </c>
      <c r="N21" s="247">
        <f>VLOOKUP(C21,'Sales Master'!$B$3:$FA$3051,156,0)</f>
        <v>12.960000000000003</v>
      </c>
      <c r="O21" s="247">
        <f t="shared" si="1"/>
        <v>5.0399999999999974</v>
      </c>
      <c r="P21" s="247">
        <f t="shared" si="2"/>
        <v>5.0399999999999974</v>
      </c>
    </row>
    <row r="22" spans="2:20" ht="20.149999999999999" customHeight="1" x14ac:dyDescent="0.45">
      <c r="B22" s="21"/>
      <c r="C22" s="45" t="s">
        <v>959</v>
      </c>
      <c r="D22" s="430" t="str">
        <f>VLOOKUP(C22,'Sales Master'!B$3:D$2223,2,0)</f>
        <v>Pearl Barley 薏米</v>
      </c>
      <c r="E22" s="430"/>
      <c r="F22" s="430"/>
      <c r="G22" s="99">
        <v>3</v>
      </c>
      <c r="H22" s="241" t="str">
        <f>VLOOKUP(C22,'Sales Master'!B$3:F$936,5,0)</f>
        <v>1 kg</v>
      </c>
      <c r="I22" s="432" t="str">
        <f>VLOOKUP(C22,'Sales Master'!B$3:E$936,4,0)</f>
        <v>-</v>
      </c>
      <c r="J22" s="432"/>
      <c r="K22" s="22">
        <f>VLOOKUP(C22,'Sales Master'!B$8:CZ$936,103,0)</f>
        <v>2.2000000000000002</v>
      </c>
      <c r="L22" s="71">
        <f t="shared" si="0"/>
        <v>6.6000000000000005</v>
      </c>
      <c r="N22" s="247">
        <f>VLOOKUP(C22,'Sales Master'!$B$3:$FA$3051,156,0)</f>
        <v>1.52</v>
      </c>
      <c r="O22" s="247">
        <f t="shared" si="1"/>
        <v>0.68000000000000016</v>
      </c>
      <c r="P22" s="247">
        <f t="shared" si="2"/>
        <v>2.0400000000000005</v>
      </c>
    </row>
    <row r="23" spans="2:20" ht="20.149999999999999" customHeight="1" x14ac:dyDescent="0.45">
      <c r="B23" s="21"/>
      <c r="C23" s="45" t="s">
        <v>1086</v>
      </c>
      <c r="D23" s="430" t="str">
        <f>VLOOKUP(C23,'Sales Master'!B$3:D$2223,2,0)</f>
        <v>Coconut Sugar 椰糖</v>
      </c>
      <c r="E23" s="430"/>
      <c r="F23" s="430"/>
      <c r="G23" s="99">
        <v>1</v>
      </c>
      <c r="H23" s="241" t="str">
        <f>VLOOKUP(C23,'Sales Master'!B$3:F$936,5,0)</f>
        <v>10kgs/ctn</v>
      </c>
      <c r="I23" s="432" t="str">
        <f>VLOOKUP(C23,'Sales Master'!B$3:E$936,4,0)</f>
        <v>BL BRAND</v>
      </c>
      <c r="J23" s="432"/>
      <c r="K23" s="22">
        <f>VLOOKUP(C23,'Sales Master'!B$8:CZ$936,103,0)</f>
        <v>34</v>
      </c>
      <c r="L23" s="71">
        <f t="shared" si="0"/>
        <v>34</v>
      </c>
      <c r="N23" s="247">
        <f>VLOOKUP(C23,'Sales Master'!$B$3:$FA$3051,156,0)</f>
        <v>28</v>
      </c>
      <c r="O23" s="247">
        <f t="shared" si="1"/>
        <v>6</v>
      </c>
      <c r="P23" s="247">
        <f t="shared" si="2"/>
        <v>6</v>
      </c>
    </row>
    <row r="24" spans="2:20" ht="20.149999999999999" customHeight="1" x14ac:dyDescent="0.45">
      <c r="B24" s="21"/>
      <c r="C24" s="45"/>
      <c r="D24" s="430"/>
      <c r="E24" s="430"/>
      <c r="F24" s="430"/>
      <c r="G24" s="99"/>
      <c r="H24" s="241"/>
      <c r="I24" s="432"/>
      <c r="J24" s="432"/>
      <c r="K24" s="22"/>
      <c r="L24" s="71"/>
      <c r="N24" s="247"/>
      <c r="O24" s="247"/>
      <c r="P24" s="247"/>
    </row>
    <row r="25" spans="2:20" ht="20.149999999999999" customHeight="1" x14ac:dyDescent="0.45">
      <c r="B25" s="21"/>
      <c r="C25" s="45"/>
      <c r="D25" s="430"/>
      <c r="E25" s="430"/>
      <c r="F25" s="430"/>
      <c r="G25" s="99"/>
      <c r="H25" s="241"/>
      <c r="I25" s="432"/>
      <c r="J25" s="432"/>
      <c r="K25" s="22"/>
      <c r="L25" s="71"/>
      <c r="N25" s="247"/>
      <c r="O25" s="247"/>
      <c r="P25" s="247"/>
    </row>
    <row r="26" spans="2:20" ht="20.149999999999999" customHeight="1" x14ac:dyDescent="0.45">
      <c r="B26" s="21"/>
      <c r="C26" s="278"/>
      <c r="D26" s="69"/>
      <c r="E26" s="69"/>
      <c r="F26" s="69"/>
      <c r="G26" s="97"/>
      <c r="H26" s="65"/>
      <c r="I26" s="65"/>
      <c r="J26" s="65"/>
      <c r="K26" s="22"/>
      <c r="L26" s="71"/>
      <c r="N26" s="247"/>
      <c r="O26" s="247"/>
      <c r="P26" s="247"/>
    </row>
    <row r="27" spans="2:20" ht="20.149999999999999" customHeight="1" x14ac:dyDescent="0.45">
      <c r="B27" s="21"/>
      <c r="D27" s="69"/>
      <c r="E27" s="69"/>
      <c r="F27" s="69"/>
      <c r="G27" s="97"/>
      <c r="H27" s="65"/>
      <c r="I27" s="65"/>
      <c r="J27" s="65"/>
      <c r="K27" s="22"/>
      <c r="L27" s="71"/>
      <c r="N27" s="247"/>
      <c r="O27" s="247"/>
      <c r="P27" s="247"/>
    </row>
    <row r="28" spans="2:20" ht="20.149999999999999" customHeight="1" x14ac:dyDescent="0.45">
      <c r="B28" s="21"/>
      <c r="C28" s="12" t="s">
        <v>1236</v>
      </c>
      <c r="D28" s="430"/>
      <c r="E28" s="430"/>
      <c r="F28" s="430"/>
      <c r="G28" s="97"/>
      <c r="H28" s="65"/>
      <c r="I28" s="431"/>
      <c r="J28" s="431"/>
      <c r="K28" s="22"/>
      <c r="L28" s="71"/>
      <c r="N28" s="247"/>
      <c r="O28" s="247"/>
      <c r="P28" s="247"/>
    </row>
    <row r="29" spans="2:20" ht="20.149999999999999" customHeight="1" x14ac:dyDescent="0.45">
      <c r="B29" s="28"/>
      <c r="C29" s="69" t="s">
        <v>1318</v>
      </c>
      <c r="K29" s="22"/>
      <c r="L29" s="266"/>
      <c r="M29" s="264"/>
      <c r="N29" s="264"/>
      <c r="O29" s="264"/>
      <c r="P29" s="264"/>
      <c r="Q29" s="265"/>
      <c r="R29" s="264"/>
      <c r="S29" s="264"/>
      <c r="T29" s="264"/>
    </row>
    <row r="30" spans="2:20" ht="20.149999999999999" customHeight="1" x14ac:dyDescent="0.45">
      <c r="B30" s="21"/>
      <c r="C30" s="69" t="s">
        <v>1317</v>
      </c>
      <c r="G30" s="45"/>
      <c r="H30" s="65"/>
      <c r="I30" s="206"/>
      <c r="J30" s="206"/>
      <c r="K30" s="22"/>
      <c r="L30" s="71"/>
      <c r="N30" s="94"/>
    </row>
    <row r="31" spans="2:20" ht="20.149999999999999" customHeight="1" x14ac:dyDescent="0.45">
      <c r="B31" s="21"/>
      <c r="C31" s="275"/>
      <c r="G31" s="99"/>
      <c r="H31" s="65"/>
      <c r="I31" s="65"/>
      <c r="J31" s="65"/>
      <c r="K31" s="96"/>
      <c r="L31" s="71"/>
    </row>
    <row r="32" spans="2:20" ht="20.149999999999999" customHeight="1" x14ac:dyDescent="0.45">
      <c r="B32" s="21"/>
      <c r="C32" s="140"/>
      <c r="G32" s="99"/>
      <c r="H32" s="65"/>
      <c r="I32" s="431"/>
      <c r="J32" s="431"/>
      <c r="K32" s="96"/>
      <c r="L32" s="71"/>
    </row>
    <row r="33" spans="2:14" ht="20.149999999999999" customHeight="1" x14ac:dyDescent="0.45">
      <c r="B33" s="21"/>
      <c r="C33" s="45"/>
      <c r="D33" s="430"/>
      <c r="E33" s="430"/>
      <c r="F33" s="430"/>
      <c r="G33" s="99"/>
      <c r="H33" s="241"/>
      <c r="I33" s="494"/>
      <c r="J33" s="494"/>
      <c r="K33" s="96"/>
      <c r="L33" s="71"/>
    </row>
    <row r="34" spans="2:14" ht="20.149999999999999" customHeight="1" x14ac:dyDescent="0.45">
      <c r="B34" s="21"/>
      <c r="C34" s="45"/>
      <c r="D34" s="430"/>
      <c r="E34" s="430"/>
      <c r="F34" s="430"/>
      <c r="G34" s="99"/>
      <c r="H34" s="241"/>
      <c r="I34" s="494"/>
      <c r="J34" s="494"/>
      <c r="K34" s="96"/>
      <c r="L34" s="71"/>
    </row>
    <row r="35" spans="2:14" ht="20.149999999999999" customHeight="1" x14ac:dyDescent="0.45">
      <c r="B35" s="21"/>
      <c r="C35" s="45"/>
      <c r="D35" s="430"/>
      <c r="E35" s="430"/>
      <c r="F35" s="430"/>
      <c r="G35" s="99"/>
      <c r="H35" s="65"/>
      <c r="I35" s="431"/>
      <c r="J35" s="431"/>
      <c r="K35" s="96"/>
      <c r="L35" s="71"/>
    </row>
    <row r="36" spans="2:14" ht="20.149999999999999" customHeight="1" x14ac:dyDescent="0.45">
      <c r="B36" s="21"/>
      <c r="C36" s="45"/>
      <c r="D36" s="440"/>
      <c r="E36" s="440"/>
      <c r="F36" s="440"/>
      <c r="G36" s="99"/>
      <c r="H36" s="65"/>
      <c r="I36" s="431"/>
      <c r="J36" s="431"/>
      <c r="K36" s="96"/>
      <c r="L36" s="71"/>
    </row>
    <row r="37" spans="2:14" ht="20.149999999999999" customHeight="1" thickBot="1" x14ac:dyDescent="0.5">
      <c r="B37" s="24"/>
      <c r="C37" s="25"/>
      <c r="D37" s="473"/>
      <c r="E37" s="473"/>
      <c r="F37" s="473"/>
      <c r="G37" s="25"/>
      <c r="H37" s="66"/>
      <c r="I37" s="66"/>
      <c r="J37" s="66"/>
      <c r="K37" s="26"/>
      <c r="L37" s="27"/>
    </row>
    <row r="38" spans="2:14" ht="20.149999999999999" customHeight="1" thickBot="1" x14ac:dyDescent="0.5">
      <c r="B38" s="28"/>
      <c r="L38" s="29"/>
    </row>
    <row r="39" spans="2:14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474" t="s">
        <v>13</v>
      </c>
      <c r="K39" s="475"/>
      <c r="L39" s="30">
        <f>SUM(L18:L37)</f>
        <v>110.6</v>
      </c>
      <c r="M39" s="95">
        <f>SUM(P9:P37)-L39*0.02</f>
        <v>25.607999999999997</v>
      </c>
      <c r="N39" s="248">
        <f>M39/L39</f>
        <v>0.23153707052441228</v>
      </c>
    </row>
    <row r="40" spans="2:14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110" t="s">
        <v>553</v>
      </c>
      <c r="K40" s="113">
        <v>6.54E-2</v>
      </c>
      <c r="L40" s="32">
        <f>L42</f>
        <v>7.2355140186915889</v>
      </c>
    </row>
    <row r="41" spans="2:14" ht="20.149999999999999" customHeight="1" x14ac:dyDescent="0.45">
      <c r="B41" s="11" t="s">
        <v>18</v>
      </c>
      <c r="C41" s="10"/>
      <c r="D41" s="10"/>
      <c r="E41" s="10"/>
      <c r="F41" s="10"/>
      <c r="G41" s="10"/>
      <c r="H41" s="10"/>
      <c r="I41" s="10"/>
      <c r="J41" s="476" t="s">
        <v>555</v>
      </c>
      <c r="K41" s="477"/>
      <c r="L41" s="114">
        <f>L39/107*100</f>
        <v>103.36448598130841</v>
      </c>
    </row>
    <row r="42" spans="2:14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J42" s="111" t="s">
        <v>554</v>
      </c>
      <c r="K42" s="112">
        <v>7.0000000000000007E-2</v>
      </c>
      <c r="L42" s="44">
        <f>L41*K42</f>
        <v>7.2355140186915889</v>
      </c>
    </row>
    <row r="43" spans="2:14" ht="20.149999999999999" customHeight="1" thickBot="1" x14ac:dyDescent="0.5">
      <c r="B43" s="11" t="s">
        <v>748</v>
      </c>
      <c r="C43" s="10"/>
      <c r="D43" s="10"/>
      <c r="E43" s="10"/>
      <c r="F43" s="10"/>
      <c r="G43" s="10"/>
      <c r="H43" s="10"/>
      <c r="I43" s="10"/>
      <c r="J43" s="478" t="s">
        <v>21</v>
      </c>
      <c r="K43" s="479"/>
      <c r="L43" s="33">
        <f>L41+L42</f>
        <v>110.6</v>
      </c>
    </row>
    <row r="44" spans="2:14" ht="20.149999999999999" customHeight="1" x14ac:dyDescent="0.45">
      <c r="B44" s="11" t="s">
        <v>23</v>
      </c>
      <c r="C44" s="10"/>
      <c r="D44" s="10"/>
      <c r="E44" s="10"/>
      <c r="F44" s="10"/>
      <c r="G44" s="10"/>
      <c r="H44" s="10"/>
      <c r="I44" s="10"/>
      <c r="L44" s="29"/>
    </row>
    <row r="45" spans="2:14" ht="20.149999999999999" customHeight="1" x14ac:dyDescent="0.45">
      <c r="B45" s="183" t="s">
        <v>749</v>
      </c>
      <c r="L45" s="29"/>
    </row>
    <row r="46" spans="2:14" ht="20.149999999999999" customHeight="1" x14ac:dyDescent="0.45">
      <c r="B46" s="28"/>
      <c r="L46" s="29"/>
    </row>
    <row r="47" spans="2:14" ht="20.149999999999999" customHeight="1" x14ac:dyDescent="0.45">
      <c r="B47" s="28"/>
      <c r="L47" s="29"/>
    </row>
    <row r="48" spans="2:14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24</v>
      </c>
      <c r="J50" s="60" t="s">
        <v>25</v>
      </c>
      <c r="L50" s="29"/>
    </row>
    <row r="51" spans="2:12" ht="19" thickBot="1" x14ac:dyDescent="0.5">
      <c r="B51" s="37"/>
      <c r="C51" s="62"/>
      <c r="D51" s="62"/>
      <c r="E51" s="62"/>
      <c r="F51" s="62"/>
      <c r="G51" s="62"/>
      <c r="H51" s="62"/>
      <c r="I51" s="62"/>
      <c r="J51" s="62"/>
      <c r="K51" s="62"/>
      <c r="L51" s="38"/>
    </row>
  </sheetData>
  <mergeCells count="45">
    <mergeCell ref="D28:F28"/>
    <mergeCell ref="I28:J28"/>
    <mergeCell ref="D25:F25"/>
    <mergeCell ref="I25:J25"/>
    <mergeCell ref="D33:F33"/>
    <mergeCell ref="I33:J33"/>
    <mergeCell ref="D34:F34"/>
    <mergeCell ref="I34:J34"/>
    <mergeCell ref="I32:J32"/>
    <mergeCell ref="D35:F35"/>
    <mergeCell ref="I35:J35"/>
    <mergeCell ref="J43:K43"/>
    <mergeCell ref="D36:F36"/>
    <mergeCell ref="I36:J36"/>
    <mergeCell ref="D37:F37"/>
    <mergeCell ref="J39:K39"/>
    <mergeCell ref="J41:K4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23:F23"/>
    <mergeCell ref="D24:F24"/>
    <mergeCell ref="I23:J23"/>
    <mergeCell ref="I24:J24"/>
    <mergeCell ref="D21:F21"/>
    <mergeCell ref="I21:J21"/>
    <mergeCell ref="D18:F18"/>
    <mergeCell ref="I18:J18"/>
    <mergeCell ref="D19:F19"/>
    <mergeCell ref="I19:J19"/>
    <mergeCell ref="D22:F22"/>
    <mergeCell ref="I22:J22"/>
    <mergeCell ref="D20:F20"/>
    <mergeCell ref="I20:J20"/>
  </mergeCells>
  <conditionalFormatting sqref="C32">
    <cfRule type="duplicateValues" dxfId="23" priority="1"/>
  </conditionalFormatting>
  <conditionalFormatting sqref="C35">
    <cfRule type="duplicateValues" dxfId="22" priority="143"/>
  </conditionalFormatting>
  <pageMargins left="0.7" right="0.31496062992126" top="0.5" bottom="0.5" header="0.31496062992126" footer="0.31496062992126"/>
  <pageSetup paperSize="9" scale="75" orientation="portrait" horizontalDpi="300" verticalDpi="30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5EE90-B4E5-45DF-9594-B0E25C856D7A}">
  <sheetPr codeName="Sheet31">
    <tabColor rgb="FFFF0000"/>
    <pageSetUpPr fitToPage="1"/>
  </sheetPr>
  <dimension ref="B1:P51"/>
  <sheetViews>
    <sheetView zoomScaleNormal="100" workbookViewId="0">
      <selection activeCell="B1" sqref="B1:L5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4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457</v>
      </c>
      <c r="J10" s="17" t="s">
        <v>26</v>
      </c>
      <c r="K10" s="455">
        <v>202111267</v>
      </c>
      <c r="L10" s="456"/>
    </row>
    <row r="11" spans="2:12" ht="20.149999999999999" customHeight="1" x14ac:dyDescent="0.45">
      <c r="B11" s="480"/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 t="s">
        <v>1218</v>
      </c>
      <c r="L11" s="466"/>
    </row>
    <row r="12" spans="2:12" ht="20.149999999999999" customHeight="1" x14ac:dyDescent="0.45">
      <c r="B12" s="462" t="s">
        <v>256</v>
      </c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 t="s">
        <v>348</v>
      </c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 t="s">
        <v>349</v>
      </c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97"/>
      <c r="C15" s="498"/>
      <c r="D15" s="49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1082</v>
      </c>
      <c r="D18" s="430" t="e">
        <f>VLOOKUP(C18,'Sales Master'!B$3:D$644,2,0)</f>
        <v>#N/A</v>
      </c>
      <c r="E18" s="430"/>
      <c r="F18" s="430"/>
      <c r="G18" s="45">
        <v>10</v>
      </c>
      <c r="H18" s="65" t="e">
        <f>VLOOKUP(C18,'Sales Master'!B$3:F$936,5,0)</f>
        <v>#N/A</v>
      </c>
      <c r="I18" s="431" t="e">
        <f>VLOOKUP(C18,'Sales Master'!B$3:E$936,4,0)</f>
        <v>#N/A</v>
      </c>
      <c r="J18" s="431"/>
      <c r="K18" s="22">
        <v>5.5</v>
      </c>
      <c r="L18" s="23">
        <f>K18*G18</f>
        <v>55</v>
      </c>
      <c r="N18" s="247" t="e">
        <f>VLOOKUP(C18,'Sales Master'!$B$3:$FA$3051,156,0)</f>
        <v>#N/A</v>
      </c>
      <c r="O18" s="247" t="e">
        <f>K18-N18</f>
        <v>#N/A</v>
      </c>
      <c r="P18" s="247" t="e">
        <f>O18*G18</f>
        <v>#N/A</v>
      </c>
    </row>
    <row r="19" spans="2:16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23"/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23"/>
    </row>
    <row r="21" spans="2:16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23"/>
    </row>
    <row r="22" spans="2:16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22"/>
      <c r="L22" s="23"/>
    </row>
    <row r="23" spans="2:16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23"/>
    </row>
    <row r="24" spans="2:16" ht="20.149999999999999" customHeight="1" x14ac:dyDescent="0.45">
      <c r="B24" s="21"/>
      <c r="C24" s="45"/>
      <c r="D24" s="430"/>
      <c r="E24" s="430"/>
      <c r="F24" s="430"/>
      <c r="G24" s="45"/>
      <c r="H24" s="65"/>
      <c r="I24" s="431"/>
      <c r="J24" s="431"/>
      <c r="K24" s="22"/>
      <c r="L24" s="23"/>
    </row>
    <row r="25" spans="2:16" ht="20.149999999999999" customHeight="1" x14ac:dyDescent="0.45">
      <c r="B25" s="21"/>
      <c r="C25" s="172" t="s">
        <v>1220</v>
      </c>
      <c r="G25" s="45"/>
      <c r="H25" s="65"/>
      <c r="I25" s="431"/>
      <c r="J25" s="431"/>
      <c r="K25" s="22"/>
      <c r="L25" s="23"/>
    </row>
    <row r="26" spans="2:16" ht="20.149999999999999" customHeight="1" x14ac:dyDescent="0.45">
      <c r="B26" s="21"/>
      <c r="C26" s="45" t="s">
        <v>1082</v>
      </c>
      <c r="D26" s="430" t="e">
        <f>VLOOKUP(C26,'Sales Master'!B$3:D$644,2,0)</f>
        <v>#N/A</v>
      </c>
      <c r="E26" s="430"/>
      <c r="F26" s="430"/>
      <c r="G26" s="45">
        <v>1</v>
      </c>
      <c r="H26" s="65" t="e">
        <f>VLOOKUP(C26,'Sales Master'!B$3:F$936,5,0)</f>
        <v>#N/A</v>
      </c>
      <c r="I26" s="431" t="e">
        <f>VLOOKUP(C26,'Sales Master'!B$3:E$936,4,0)</f>
        <v>#N/A</v>
      </c>
      <c r="J26" s="431"/>
      <c r="K26" s="22">
        <v>5.7</v>
      </c>
      <c r="L26" s="23"/>
    </row>
    <row r="27" spans="2:16" ht="20.149999999999999" customHeight="1" x14ac:dyDescent="0.45">
      <c r="B27" s="21"/>
      <c r="C27" s="45"/>
      <c r="D27" s="503"/>
      <c r="E27" s="503"/>
      <c r="F27" s="503"/>
      <c r="G27" s="45"/>
      <c r="H27" s="65"/>
      <c r="I27" s="431"/>
      <c r="J27" s="431"/>
      <c r="K27" s="22"/>
      <c r="L27" s="23"/>
    </row>
    <row r="28" spans="2:16" ht="20.149999999999999" customHeight="1" x14ac:dyDescent="0.45">
      <c r="B28" s="21"/>
      <c r="C28" s="45"/>
      <c r="D28" s="503"/>
      <c r="E28" s="503"/>
      <c r="F28" s="503"/>
      <c r="G28" s="45"/>
      <c r="H28" s="65"/>
      <c r="I28" s="431"/>
      <c r="J28" s="431"/>
      <c r="K28" s="22"/>
      <c r="L28" s="23"/>
    </row>
    <row r="29" spans="2:16" ht="20.149999999999999" customHeight="1" x14ac:dyDescent="0.45">
      <c r="B29" s="21"/>
      <c r="C29" s="45"/>
      <c r="D29" s="503"/>
      <c r="E29" s="503"/>
      <c r="F29" s="503"/>
      <c r="G29" s="45"/>
      <c r="H29" s="65"/>
      <c r="I29" s="431"/>
      <c r="J29" s="431"/>
      <c r="K29" s="22"/>
      <c r="L29" s="23"/>
    </row>
    <row r="30" spans="2:16" ht="20.149999999999999" customHeight="1" x14ac:dyDescent="0.45">
      <c r="B30" s="21"/>
      <c r="C30" s="45"/>
      <c r="D30" s="503"/>
      <c r="E30" s="503"/>
      <c r="F30" s="503"/>
      <c r="G30" s="45"/>
      <c r="H30" s="65"/>
      <c r="I30" s="431"/>
      <c r="J30" s="431"/>
      <c r="K30" s="22"/>
      <c r="L30" s="23"/>
    </row>
    <row r="31" spans="2:16" ht="20.149999999999999" customHeight="1" x14ac:dyDescent="0.45">
      <c r="B31" s="21"/>
      <c r="C31" s="45"/>
      <c r="D31" s="503"/>
      <c r="E31" s="503"/>
      <c r="F31" s="503"/>
      <c r="G31" s="45"/>
      <c r="H31" s="65"/>
      <c r="I31" s="431"/>
      <c r="J31" s="431"/>
      <c r="K31" s="22"/>
      <c r="L31" s="23"/>
    </row>
    <row r="32" spans="2:16" ht="20.149999999999999" customHeight="1" x14ac:dyDescent="0.45">
      <c r="B32" s="21"/>
      <c r="C32" s="45"/>
      <c r="D32" s="503"/>
      <c r="E32" s="503"/>
      <c r="F32" s="503"/>
      <c r="G32" s="45"/>
      <c r="H32" s="65"/>
      <c r="I32" s="431"/>
      <c r="J32" s="431"/>
      <c r="K32" s="22"/>
      <c r="L32" s="23"/>
    </row>
    <row r="33" spans="2:14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4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</row>
    <row r="35" spans="2:14" ht="20.149999999999999" customHeight="1" x14ac:dyDescent="0.45">
      <c r="B35" s="21"/>
      <c r="C35" s="45"/>
      <c r="D35" s="503"/>
      <c r="E35" s="503"/>
      <c r="F35" s="503"/>
      <c r="G35" s="45"/>
      <c r="H35" s="65"/>
      <c r="I35" s="65"/>
      <c r="J35" s="65"/>
      <c r="K35" s="22"/>
      <c r="L35" s="23"/>
    </row>
    <row r="36" spans="2:14" ht="20.149999999999999" customHeight="1" x14ac:dyDescent="0.45">
      <c r="B36" s="21"/>
      <c r="C36" s="45"/>
      <c r="D36" s="503"/>
      <c r="E36" s="503"/>
      <c r="F36" s="503"/>
      <c r="G36" s="45"/>
      <c r="H36" s="65"/>
      <c r="I36" s="65"/>
      <c r="J36" s="65"/>
      <c r="K36" s="22"/>
      <c r="L36" s="23"/>
    </row>
    <row r="37" spans="2:14" ht="20.149999999999999" customHeight="1" thickBot="1" x14ac:dyDescent="0.5">
      <c r="B37" s="24"/>
      <c r="C37" s="25"/>
      <c r="D37" s="473"/>
      <c r="E37" s="473"/>
      <c r="F37" s="473"/>
      <c r="G37" s="25"/>
      <c r="H37" s="66"/>
      <c r="I37" s="66"/>
      <c r="J37" s="66"/>
      <c r="K37" s="26"/>
      <c r="L37" s="27"/>
    </row>
    <row r="38" spans="2:14" ht="20.149999999999999" customHeight="1" thickBot="1" x14ac:dyDescent="0.5">
      <c r="B38" s="28"/>
      <c r="L38" s="29"/>
    </row>
    <row r="39" spans="2:14" ht="20.149999999999999" customHeight="1" x14ac:dyDescent="0.45">
      <c r="B39" s="11" t="s">
        <v>16</v>
      </c>
      <c r="C39" s="10"/>
      <c r="D39" s="10"/>
      <c r="E39" s="10"/>
      <c r="F39" s="10"/>
      <c r="G39" s="10"/>
      <c r="H39" s="10"/>
      <c r="I39" s="10"/>
      <c r="J39" s="474" t="s">
        <v>13</v>
      </c>
      <c r="K39" s="475"/>
      <c r="L39" s="30">
        <f>SUM(L17:L38)</f>
        <v>55</v>
      </c>
      <c r="M39" s="95" t="e">
        <f>SUM(P18:P37)-L39*0.02</f>
        <v>#N/A</v>
      </c>
      <c r="N39" s="248" t="e">
        <f>M39/L39</f>
        <v>#N/A</v>
      </c>
    </row>
    <row r="40" spans="2:14" ht="20.149999999999999" customHeight="1" x14ac:dyDescent="0.45">
      <c r="B40" s="11" t="s">
        <v>17</v>
      </c>
      <c r="C40" s="10"/>
      <c r="D40" s="10"/>
      <c r="E40" s="10"/>
      <c r="F40" s="10"/>
      <c r="G40" s="10"/>
      <c r="H40" s="10"/>
      <c r="I40" s="10"/>
      <c r="J40" s="110" t="s">
        <v>553</v>
      </c>
      <c r="K40" s="113">
        <v>6.54E-2</v>
      </c>
      <c r="L40" s="32">
        <f>L42</f>
        <v>3.5981308411214949</v>
      </c>
    </row>
    <row r="41" spans="2:14" ht="20.149999999999999" customHeight="1" x14ac:dyDescent="0.45">
      <c r="B41" s="11" t="s">
        <v>18</v>
      </c>
      <c r="C41" s="10"/>
      <c r="D41" s="10"/>
      <c r="E41" s="10"/>
      <c r="F41" s="10"/>
      <c r="G41" s="10"/>
      <c r="H41" s="10"/>
      <c r="I41" s="10"/>
      <c r="J41" s="476" t="s">
        <v>555</v>
      </c>
      <c r="K41" s="477"/>
      <c r="L41" s="114">
        <f>L39/107*100</f>
        <v>51.401869158878498</v>
      </c>
    </row>
    <row r="42" spans="2:14" ht="20.149999999999999" customHeight="1" x14ac:dyDescent="0.45">
      <c r="B42" s="11" t="s">
        <v>22</v>
      </c>
      <c r="C42" s="10"/>
      <c r="D42" s="10"/>
      <c r="E42" s="10"/>
      <c r="F42" s="10"/>
      <c r="G42" s="10"/>
      <c r="H42" s="10"/>
      <c r="I42" s="10"/>
      <c r="J42" s="111" t="s">
        <v>554</v>
      </c>
      <c r="K42" s="112">
        <v>7.0000000000000007E-2</v>
      </c>
      <c r="L42" s="44">
        <f>L41*K42</f>
        <v>3.5981308411214949</v>
      </c>
    </row>
    <row r="43" spans="2:14" ht="20.149999999999999" customHeight="1" thickBot="1" x14ac:dyDescent="0.5">
      <c r="B43" s="11" t="s">
        <v>748</v>
      </c>
      <c r="C43" s="10"/>
      <c r="D43" s="10"/>
      <c r="E43" s="10"/>
      <c r="F43" s="10"/>
      <c r="G43" s="10"/>
      <c r="H43" s="10"/>
      <c r="I43" s="10"/>
      <c r="J43" s="478" t="s">
        <v>21</v>
      </c>
      <c r="K43" s="479"/>
      <c r="L43" s="33">
        <f>L41+L42</f>
        <v>54.999999999999993</v>
      </c>
    </row>
    <row r="44" spans="2:14" ht="20.149999999999999" customHeight="1" x14ac:dyDescent="0.45">
      <c r="B44" s="11" t="s">
        <v>23</v>
      </c>
      <c r="C44" s="10"/>
      <c r="D44" s="10"/>
      <c r="E44" s="10"/>
      <c r="F44" s="10"/>
      <c r="G44" s="10"/>
      <c r="H44" s="10"/>
      <c r="I44" s="10"/>
      <c r="L44" s="29"/>
    </row>
    <row r="45" spans="2:14" ht="20.149999999999999" customHeight="1" x14ac:dyDescent="0.45">
      <c r="B45" s="183" t="s">
        <v>749</v>
      </c>
      <c r="L45" s="29"/>
    </row>
    <row r="46" spans="2:14" ht="20.149999999999999" customHeight="1" x14ac:dyDescent="0.45">
      <c r="B46" s="28"/>
      <c r="L46" s="29"/>
    </row>
    <row r="47" spans="2:14" ht="20.149999999999999" customHeight="1" x14ac:dyDescent="0.45">
      <c r="B47" s="28"/>
      <c r="L47" s="29"/>
    </row>
    <row r="48" spans="2:14" ht="20.149999999999999" customHeight="1" x14ac:dyDescent="0.45">
      <c r="B48" s="28"/>
      <c r="L48" s="29"/>
    </row>
    <row r="49" spans="2:12" ht="20.149999999999999" customHeight="1" x14ac:dyDescent="0.45">
      <c r="B49" s="34"/>
      <c r="C49" s="35"/>
      <c r="D49" s="35"/>
      <c r="J49" s="35"/>
      <c r="K49" s="35"/>
      <c r="L49" s="36"/>
    </row>
    <row r="50" spans="2:12" ht="20.149999999999999" customHeight="1" x14ac:dyDescent="0.45">
      <c r="B50" s="28" t="s">
        <v>24</v>
      </c>
      <c r="J50" s="60" t="s">
        <v>25</v>
      </c>
      <c r="L50" s="29"/>
    </row>
    <row r="51" spans="2:12" ht="19" thickBot="1" x14ac:dyDescent="0.5">
      <c r="B51" s="37"/>
      <c r="C51" s="62"/>
      <c r="D51" s="62"/>
      <c r="E51" s="62"/>
      <c r="F51" s="62"/>
      <c r="G51" s="62"/>
      <c r="H51" s="62"/>
      <c r="I51" s="62"/>
      <c r="J51" s="62"/>
      <c r="K51" s="62"/>
      <c r="L51" s="38"/>
    </row>
  </sheetData>
  <mergeCells count="52">
    <mergeCell ref="B1:L8"/>
    <mergeCell ref="J43:K43"/>
    <mergeCell ref="D35:F35"/>
    <mergeCell ref="D36:F36"/>
    <mergeCell ref="D37:F37"/>
    <mergeCell ref="J39:K39"/>
    <mergeCell ref="J41:K41"/>
    <mergeCell ref="D26:F26"/>
    <mergeCell ref="I26:J26"/>
    <mergeCell ref="D27:F27"/>
    <mergeCell ref="I27:J27"/>
    <mergeCell ref="D34:F34"/>
    <mergeCell ref="D28:F28"/>
    <mergeCell ref="I28:J28"/>
    <mergeCell ref="D29:F29"/>
    <mergeCell ref="I29:J29"/>
    <mergeCell ref="D33:F33"/>
    <mergeCell ref="D23:F23"/>
    <mergeCell ref="I23:J23"/>
    <mergeCell ref="D24:F24"/>
    <mergeCell ref="I24:J24"/>
    <mergeCell ref="I25:J25"/>
    <mergeCell ref="D30:F30"/>
    <mergeCell ref="I30:J30"/>
    <mergeCell ref="D31:F31"/>
    <mergeCell ref="I31:J31"/>
    <mergeCell ref="D32:F32"/>
    <mergeCell ref="I32:J32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5" fitToHeight="0" orientation="portrait" horizontalDpi="300" verticalDpi="30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BF6B2-DDCB-4646-ABB6-14B3D0681E61}">
  <sheetPr codeName="Sheet147">
    <tabColor rgb="FFFFC000"/>
    <pageSetUpPr fitToPage="1"/>
  </sheetPr>
  <dimension ref="B1:P43"/>
  <sheetViews>
    <sheetView zoomScaleNormal="100" workbookViewId="0">
      <selection activeCell="B1" sqref="B1:L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728</v>
      </c>
      <c r="J10" s="17" t="s">
        <v>26</v>
      </c>
      <c r="K10" s="455">
        <v>202209180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e">
        <f>VLOOKUP(H10,'Delivery Location'!A$4:N$423,2,0)</f>
        <v>#N/A</v>
      </c>
      <c r="G11" s="445"/>
      <c r="H11" s="446"/>
      <c r="J11" s="18" t="s">
        <v>9</v>
      </c>
      <c r="K11" s="460">
        <v>44816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1080</v>
      </c>
      <c r="D18" s="430" t="str">
        <f>VLOOKUP(C18,'Sales Master'!B$3:D$644,2,0)</f>
        <v>Fine Sugar 白糖</v>
      </c>
      <c r="E18" s="430"/>
      <c r="F18" s="430"/>
      <c r="G18" s="45">
        <v>5</v>
      </c>
      <c r="H18" s="241" t="str">
        <f>VLOOKUP(C18,'Sales Master'!B$3:F$936,5,0)</f>
        <v>25 KGS</v>
      </c>
      <c r="I18" s="432" t="str">
        <f>VLOOKUP(C18,'Sales Master'!B$3:E$936,4,0)</f>
        <v>MITR PHOL</v>
      </c>
      <c r="J18" s="432"/>
      <c r="K18" s="22">
        <f>VLOOKUP(C18,'Sales Master'!B$3:DC$527,106,0)</f>
        <v>33</v>
      </c>
      <c r="L18" s="71">
        <f>K18*G18</f>
        <v>165</v>
      </c>
      <c r="N18" s="247">
        <f>VLOOKUP(C18,'Sales Master'!$B$3:$FA$3051,156,0)</f>
        <v>26.784000000000002</v>
      </c>
      <c r="O18" s="247">
        <f>K18-N18</f>
        <v>6.2159999999999975</v>
      </c>
      <c r="P18" s="247">
        <f>O18*G18</f>
        <v>31.079999999999988</v>
      </c>
    </row>
    <row r="19" spans="2:16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65"/>
      <c r="I20" s="65"/>
      <c r="J20" s="65"/>
      <c r="K20" s="22"/>
      <c r="L20" s="71"/>
    </row>
    <row r="21" spans="2:16" ht="20.149999999999999" customHeight="1" x14ac:dyDescent="0.45">
      <c r="B21" s="21"/>
      <c r="C21" s="275"/>
      <c r="G21" s="99"/>
      <c r="H21" s="65"/>
      <c r="I21" s="65"/>
      <c r="J21" s="65"/>
      <c r="K21" s="96"/>
      <c r="L21" s="71"/>
    </row>
    <row r="22" spans="2:16" ht="20.149999999999999" customHeight="1" x14ac:dyDescent="0.45">
      <c r="B22" s="21"/>
      <c r="C22" s="45"/>
      <c r="D22" s="440"/>
      <c r="E22" s="440"/>
      <c r="F22" s="440"/>
      <c r="G22" s="99"/>
      <c r="H22" s="65"/>
      <c r="I22" s="431"/>
      <c r="J22" s="431"/>
      <c r="K22" s="96"/>
      <c r="L22" s="71"/>
    </row>
    <row r="23" spans="2:16" ht="20.149999999999999" customHeight="1" x14ac:dyDescent="0.45">
      <c r="B23" s="21"/>
      <c r="C23" s="99"/>
      <c r="D23" s="130"/>
      <c r="E23" s="130"/>
      <c r="F23" s="130"/>
      <c r="G23" s="99"/>
      <c r="H23" s="65"/>
      <c r="I23" s="65"/>
      <c r="J23" s="65"/>
      <c r="K23" s="96"/>
      <c r="L23" s="71"/>
    </row>
    <row r="24" spans="2:16" ht="20.149999999999999" customHeight="1" x14ac:dyDescent="0.45">
      <c r="B24" s="70"/>
      <c r="C24" s="140"/>
      <c r="G24" s="99"/>
      <c r="H24" s="65"/>
      <c r="I24" s="65"/>
      <c r="J24" s="65"/>
      <c r="K24" s="96"/>
      <c r="L24" s="71"/>
    </row>
    <row r="25" spans="2:16" ht="20.149999999999999" customHeight="1" x14ac:dyDescent="0.45">
      <c r="B25" s="70"/>
      <c r="C25" s="45"/>
      <c r="D25" s="440"/>
      <c r="E25" s="440"/>
      <c r="F25" s="440"/>
      <c r="G25" s="99"/>
      <c r="H25" s="65"/>
      <c r="I25" s="431"/>
      <c r="J25" s="431"/>
      <c r="K25" s="96"/>
      <c r="L25" s="71"/>
    </row>
    <row r="26" spans="2:16" ht="20.149999999999999" customHeight="1" x14ac:dyDescent="0.45">
      <c r="B26" s="70"/>
      <c r="C26" s="45"/>
      <c r="D26" s="430"/>
      <c r="E26" s="430"/>
      <c r="F26" s="430"/>
      <c r="G26" s="233"/>
      <c r="H26" s="65"/>
      <c r="I26" s="431"/>
      <c r="J26" s="431"/>
      <c r="K26" s="22"/>
      <c r="L26" s="71"/>
    </row>
    <row r="27" spans="2:16" ht="20.149999999999999" customHeight="1" x14ac:dyDescent="0.45">
      <c r="B27" s="70"/>
      <c r="C27" s="172" t="s">
        <v>629</v>
      </c>
      <c r="G27" s="233"/>
      <c r="H27" s="65"/>
      <c r="I27" s="65"/>
      <c r="J27" s="65"/>
      <c r="K27" s="22"/>
      <c r="L27" s="71"/>
    </row>
    <row r="28" spans="2:16" ht="20.149999999999999" customHeight="1" x14ac:dyDescent="0.45">
      <c r="B28" s="21"/>
      <c r="C28" s="45" t="s">
        <v>1080</v>
      </c>
      <c r="D28" s="440" t="str">
        <f>VLOOKUP(C28,'Sales Master'!B$3:D$702,2,0)</f>
        <v>Fine Sugar 白糖</v>
      </c>
      <c r="E28" s="440"/>
      <c r="F28" s="440"/>
      <c r="G28" s="233">
        <v>1</v>
      </c>
      <c r="H28" s="65" t="str">
        <f>VLOOKUP(C28,'Sales Master'!B$3:F$936,5,0)</f>
        <v>25 KGS</v>
      </c>
      <c r="I28" s="431" t="str">
        <f>VLOOKUP(C28,'Sales Master'!B$3:E$936,4,0)</f>
        <v>MITR PHOL</v>
      </c>
      <c r="J28" s="431"/>
      <c r="K28" s="22">
        <v>30</v>
      </c>
      <c r="L28" s="71"/>
    </row>
    <row r="29" spans="2:16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SUM(L18:L30)</f>
        <v>165</v>
      </c>
      <c r="M31" s="95">
        <f>SUM(P10:P29)-L31*0.02</f>
        <v>27.779999999999987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L31-L33</f>
        <v>10.794392523364479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L31/107*100</f>
        <v>154.20560747663552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7.0000000000000007E-2</v>
      </c>
      <c r="L34" s="44">
        <f>L33*K34</f>
        <v>10.794392523364488</v>
      </c>
    </row>
    <row r="35" spans="2:12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165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83" t="s">
        <v>749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2:F22"/>
    <mergeCell ref="I22:J22"/>
    <mergeCell ref="D18:F18"/>
    <mergeCell ref="I18:J18"/>
    <mergeCell ref="D17:F17"/>
    <mergeCell ref="D25:F25"/>
    <mergeCell ref="I25:J25"/>
    <mergeCell ref="J33:K33"/>
    <mergeCell ref="J35:K35"/>
    <mergeCell ref="D26:F26"/>
    <mergeCell ref="I26:J26"/>
    <mergeCell ref="D28:F28"/>
    <mergeCell ref="I28:J28"/>
    <mergeCell ref="D29:F29"/>
    <mergeCell ref="J31:K31"/>
  </mergeCells>
  <conditionalFormatting sqref="C24:C27">
    <cfRule type="duplicateValues" dxfId="21" priority="2"/>
  </conditionalFormatting>
  <conditionalFormatting sqref="C25:C26">
    <cfRule type="duplicateValues" dxfId="20" priority="1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C6AD-B98B-4A7E-8897-D972C40832AD}">
  <sheetPr codeName="Sheet34">
    <tabColor rgb="FF92D050"/>
    <pageSetUpPr fitToPage="1"/>
  </sheetPr>
  <dimension ref="B1:V49"/>
  <sheetViews>
    <sheetView topLeftCell="A29" zoomScaleNormal="100" workbookViewId="0">
      <selection activeCell="B1" sqref="B1:L4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760</v>
      </c>
      <c r="J10" s="17" t="s">
        <v>26</v>
      </c>
      <c r="K10" s="455">
        <v>202309065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 xml:space="preserve">T.P.T. Fruit Juice                                     BLK 925, Yishun Central #01-239 Singapore                         </v>
      </c>
      <c r="G11" s="445"/>
      <c r="H11" s="446"/>
      <c r="J11" s="18" t="s">
        <v>9</v>
      </c>
      <c r="K11" s="460">
        <v>45171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20.149999999999999" customHeight="1" x14ac:dyDescent="0.45">
      <c r="B18" s="177"/>
      <c r="C18" s="338" t="s">
        <v>819</v>
      </c>
      <c r="D18" s="487" t="str">
        <f>VLOOKUP(C18,'Sales Master'!B$3:D$644,2,0)</f>
        <v>Fresh Soursop Seedless 红毛榴莲(无)</v>
      </c>
      <c r="E18" s="487"/>
      <c r="F18" s="487"/>
      <c r="G18" s="45">
        <v>3</v>
      </c>
      <c r="H18" s="241" t="str">
        <f>VLOOKUP(C18,'Sales Master'!B$3:F$936,5,0)</f>
        <v>5 KGS/ Tub桶</v>
      </c>
      <c r="I18" s="432" t="str">
        <f>VLOOKUP(C18,'Sales Master'!B$3:E$936,4,0)</f>
        <v>DO!</v>
      </c>
      <c r="J18" s="432"/>
      <c r="K18" s="22">
        <f>VLOOKUP(C18,'Sales Master'!$B$3:$EB$3213,131,0)</f>
        <v>38</v>
      </c>
      <c r="L18" s="23">
        <f>K18*G18</f>
        <v>114</v>
      </c>
      <c r="N18" s="247">
        <f>VLOOKUP(C18,'Sales Master'!$B$3:$FA$3051,156,0)</f>
        <v>25.4</v>
      </c>
      <c r="O18" s="247">
        <f>K18-N18</f>
        <v>12.600000000000001</v>
      </c>
      <c r="P18" s="247">
        <f>O18*G18</f>
        <v>37.800000000000004</v>
      </c>
      <c r="Q18" s="95">
        <f>N18*G18*0.07</f>
        <v>5.3339999999999996</v>
      </c>
      <c r="R18" s="341">
        <f>N18*G18*0.08</f>
        <v>6.0959999999999992</v>
      </c>
      <c r="S18" s="94" t="s">
        <v>385</v>
      </c>
      <c r="T18" s="60" t="s">
        <v>59</v>
      </c>
      <c r="V18" s="60">
        <v>24</v>
      </c>
    </row>
    <row r="19" spans="2:22" ht="20.149999999999999" customHeight="1" x14ac:dyDescent="0.45">
      <c r="B19" s="177"/>
      <c r="C19" s="338" t="s">
        <v>820</v>
      </c>
      <c r="D19" s="430" t="str">
        <f>VLOOKUP(C19,'Sales Master'!B$3:D$644,2,0)</f>
        <v>Durian Puree 榴莲浆</v>
      </c>
      <c r="E19" s="430"/>
      <c r="F19" s="430"/>
      <c r="G19" s="45">
        <v>1</v>
      </c>
      <c r="H19" s="241" t="str">
        <f>VLOOKUP(C19,'Sales Master'!B$3:F$936,5,0)</f>
        <v>Box/盒</v>
      </c>
      <c r="I19" s="432" t="str">
        <f>VLOOKUP(C19,'Sales Master'!B$3:E$936,4,0)</f>
        <v>DO!</v>
      </c>
      <c r="J19" s="432"/>
      <c r="K19" s="22">
        <f>VLOOKUP(C19,'Sales Master'!$B$3:$EB$3213,131,0)</f>
        <v>8</v>
      </c>
      <c r="L19" s="23">
        <f>K19*G19</f>
        <v>8</v>
      </c>
      <c r="N19" s="247">
        <f>VLOOKUP(C19,'Sales Master'!$B$3:$FA$3051,156,0)</f>
        <v>4.71</v>
      </c>
      <c r="O19" s="247">
        <f>K19-N19</f>
        <v>3.29</v>
      </c>
      <c r="P19" s="247">
        <f>O19*G19</f>
        <v>3.29</v>
      </c>
      <c r="Q19" s="95">
        <f t="shared" ref="Q19" si="0">N19*G19*0.07</f>
        <v>0.32970000000000005</v>
      </c>
      <c r="R19" s="341">
        <f t="shared" ref="R19" si="1">N19*G19*0.08</f>
        <v>0.37680000000000002</v>
      </c>
      <c r="S19" s="94" t="s">
        <v>48</v>
      </c>
    </row>
    <row r="20" spans="2:22" ht="20.149999999999999" customHeight="1" x14ac:dyDescent="0.45">
      <c r="B20" s="177"/>
      <c r="C20" s="338" t="s">
        <v>822</v>
      </c>
      <c r="D20" s="430" t="str">
        <f>VLOOKUP(C20,'Sales Master'!B$3:D$644,2,0)</f>
        <v>Strawberry Puree 草莓</v>
      </c>
      <c r="E20" s="430"/>
      <c r="F20" s="430"/>
      <c r="G20" s="45">
        <v>2</v>
      </c>
      <c r="H20" s="241" t="str">
        <f>VLOOKUP(C20,'Sales Master'!B$3:F$936,5,0)</f>
        <v>Box/盒</v>
      </c>
      <c r="I20" s="432" t="str">
        <f>VLOOKUP(C20,'Sales Master'!B$3:E$936,4,0)</f>
        <v>DO!</v>
      </c>
      <c r="J20" s="432"/>
      <c r="K20" s="22">
        <f>VLOOKUP(C20,'Sales Master'!$B$3:$EB$3213,131,0)</f>
        <v>10</v>
      </c>
      <c r="L20" s="23">
        <f>K20*G20</f>
        <v>20</v>
      </c>
      <c r="N20" s="247">
        <f>VLOOKUP(C20,'Sales Master'!$B$3:$FA$3051,156,0)</f>
        <v>4.68</v>
      </c>
      <c r="O20" s="247">
        <f>K20-N20</f>
        <v>5.32</v>
      </c>
      <c r="P20" s="247">
        <f>O20*G20</f>
        <v>10.64</v>
      </c>
      <c r="Q20" s="95">
        <f t="shared" ref="Q20" si="2">N20*G20*0.07</f>
        <v>0.6552</v>
      </c>
      <c r="R20" s="341"/>
    </row>
    <row r="21" spans="2:22" ht="20.149999999999999" customHeight="1" x14ac:dyDescent="0.45">
      <c r="B21" s="177"/>
      <c r="C21" s="338" t="s">
        <v>1080</v>
      </c>
      <c r="D21" s="430" t="str">
        <f>VLOOKUP(C21,'Sales Master'!B$3:D$644,2,0)</f>
        <v>Fine Sugar 白糖</v>
      </c>
      <c r="E21" s="430"/>
      <c r="F21" s="430"/>
      <c r="G21" s="45">
        <v>1</v>
      </c>
      <c r="H21" s="241" t="str">
        <f>VLOOKUP(C21,'Sales Master'!B$3:F$936,5,0)</f>
        <v>25 KGS</v>
      </c>
      <c r="I21" s="432" t="str">
        <f>VLOOKUP(C21,'Sales Master'!B$3:E$936,4,0)</f>
        <v>MITR PHOL</v>
      </c>
      <c r="J21" s="432"/>
      <c r="K21" s="22">
        <f>VLOOKUP(C21,'Sales Master'!$B$3:$EB$3213,131,0)</f>
        <v>33.5</v>
      </c>
      <c r="L21" s="23">
        <f>K21*G21</f>
        <v>33.5</v>
      </c>
      <c r="N21" s="247">
        <f>VLOOKUP(C21,'Sales Master'!$B$3:$FA$3051,156,0)</f>
        <v>26.784000000000002</v>
      </c>
      <c r="O21" s="247">
        <f>K21-N21</f>
        <v>6.7159999999999975</v>
      </c>
      <c r="P21" s="247">
        <f>O21*G21</f>
        <v>6.7159999999999975</v>
      </c>
      <c r="Q21" s="95">
        <f t="shared" ref="Q21" si="3">N21*G21*0.07</f>
        <v>1.8748800000000003</v>
      </c>
      <c r="R21" s="341"/>
    </row>
    <row r="22" spans="2:22" ht="20.149999999999999" customHeight="1" x14ac:dyDescent="0.45">
      <c r="B22" s="177"/>
      <c r="C22" s="45"/>
      <c r="D22" s="69"/>
      <c r="E22" s="69"/>
      <c r="F22" s="69"/>
      <c r="G22" s="45"/>
      <c r="H22" s="241"/>
      <c r="I22" s="322"/>
      <c r="J22" s="322"/>
      <c r="K22" s="22"/>
      <c r="L22" s="23"/>
      <c r="N22" s="247"/>
      <c r="O22" s="247"/>
      <c r="P22" s="247"/>
      <c r="Q22" s="95"/>
      <c r="R22" s="341"/>
    </row>
    <row r="23" spans="2:22" ht="20.149999999999999" customHeight="1" x14ac:dyDescent="0.45">
      <c r="B23" s="177"/>
      <c r="C23" s="45"/>
      <c r="D23" s="430"/>
      <c r="E23" s="430"/>
      <c r="F23" s="430"/>
      <c r="G23" s="45"/>
      <c r="H23" s="241"/>
      <c r="I23" s="432"/>
      <c r="J23" s="432"/>
      <c r="K23" s="22"/>
      <c r="L23" s="23"/>
      <c r="N23" s="247"/>
      <c r="O23" s="247"/>
      <c r="P23" s="247"/>
      <c r="Q23" s="95">
        <f>SUM(Q19:Q19)</f>
        <v>0.32970000000000005</v>
      </c>
      <c r="R23" s="95">
        <f>SUM(R19:R19)</f>
        <v>0.37680000000000002</v>
      </c>
    </row>
    <row r="24" spans="2:22" ht="20.149999999999999" customHeight="1" x14ac:dyDescent="0.45">
      <c r="B24" s="177"/>
      <c r="C24" s="69"/>
      <c r="G24" s="45"/>
      <c r="H24" s="65"/>
      <c r="I24" s="431"/>
      <c r="J24" s="431"/>
      <c r="K24" s="22"/>
      <c r="L24" s="23"/>
      <c r="N24" s="247"/>
      <c r="O24" s="247"/>
      <c r="P24" s="247"/>
      <c r="R24" s="116">
        <v>6</v>
      </c>
    </row>
    <row r="25" spans="2:22" ht="20.149999999999999" customHeight="1" x14ac:dyDescent="0.45">
      <c r="B25" s="177"/>
      <c r="C25" s="12" t="s">
        <v>1236</v>
      </c>
      <c r="D25" s="69"/>
      <c r="E25" s="69"/>
      <c r="F25" s="69"/>
      <c r="G25" s="45"/>
      <c r="H25" s="65"/>
      <c r="I25" s="65"/>
      <c r="J25" s="65"/>
      <c r="K25" s="22"/>
      <c r="L25" s="23"/>
      <c r="N25" s="247"/>
      <c r="O25" s="247"/>
      <c r="P25" s="247"/>
      <c r="R25" s="116"/>
    </row>
    <row r="26" spans="2:22" ht="20.149999999999999" customHeight="1" x14ac:dyDescent="0.45">
      <c r="B26" s="177"/>
      <c r="C26" s="69" t="s">
        <v>1330</v>
      </c>
      <c r="D26" s="69"/>
      <c r="E26" s="69"/>
      <c r="F26" s="69"/>
      <c r="G26" s="45"/>
      <c r="H26" s="65"/>
      <c r="I26" s="65"/>
      <c r="J26" s="65"/>
      <c r="K26" s="22"/>
      <c r="L26" s="23"/>
      <c r="N26" s="247"/>
      <c r="O26" s="247"/>
      <c r="P26" s="247"/>
      <c r="R26" s="116"/>
    </row>
    <row r="27" spans="2:22" ht="20.149999999999999" customHeight="1" x14ac:dyDescent="0.45">
      <c r="B27" s="177"/>
      <c r="C27" s="69" t="s">
        <v>1329</v>
      </c>
      <c r="G27" s="45"/>
      <c r="H27" s="65"/>
      <c r="I27" s="206"/>
      <c r="J27" s="206"/>
      <c r="K27" s="22"/>
      <c r="L27" s="23"/>
      <c r="N27" s="247"/>
      <c r="O27" s="247"/>
      <c r="P27" s="247"/>
      <c r="R27" s="116"/>
    </row>
    <row r="28" spans="2:22" ht="20.149999999999999" customHeight="1" x14ac:dyDescent="0.45">
      <c r="B28" s="70"/>
      <c r="C28" s="275"/>
      <c r="G28" s="99"/>
      <c r="H28" s="65"/>
      <c r="I28" s="65"/>
      <c r="J28" s="65"/>
      <c r="K28" s="22"/>
      <c r="L28" s="23"/>
    </row>
    <row r="29" spans="2:22" ht="20.149999999999999" customHeight="1" x14ac:dyDescent="0.45">
      <c r="B29" s="21"/>
      <c r="C29" s="140"/>
      <c r="G29" s="99"/>
      <c r="H29" s="65"/>
      <c r="I29" s="65"/>
      <c r="J29" s="65"/>
      <c r="K29" s="96"/>
      <c r="L29" s="23"/>
    </row>
    <row r="30" spans="2:22" ht="20.149999999999999" customHeight="1" x14ac:dyDescent="0.45">
      <c r="B30" s="21"/>
      <c r="C30" s="172" t="s">
        <v>629</v>
      </c>
      <c r="G30" s="233"/>
      <c r="H30" s="65"/>
      <c r="I30" s="65"/>
      <c r="J30" s="65"/>
      <c r="K30" s="22"/>
      <c r="L30" s="23"/>
    </row>
    <row r="31" spans="2:22" ht="20.149999999999999" customHeight="1" x14ac:dyDescent="0.45">
      <c r="B31" s="21"/>
      <c r="C31" s="338" t="s">
        <v>1080</v>
      </c>
      <c r="D31" s="440" t="str">
        <f>VLOOKUP(C31,'Sales Master'!B$3:D$702,2,0)</f>
        <v>Fine Sugar 白糖</v>
      </c>
      <c r="E31" s="440"/>
      <c r="F31" s="440"/>
      <c r="G31" s="233">
        <v>1</v>
      </c>
      <c r="H31" s="206" t="str">
        <f>VLOOKUP(C31,'Sales Master'!B$3:F$936,5,0)</f>
        <v>25 KGS</v>
      </c>
      <c r="I31" s="432" t="str">
        <f>VLOOKUP(C31,'Sales Master'!B$3:E$936,4,0)</f>
        <v>MITR PHOL</v>
      </c>
      <c r="J31" s="432"/>
      <c r="K31" s="22">
        <v>33.5</v>
      </c>
      <c r="L31" s="23"/>
    </row>
    <row r="32" spans="2:22" ht="20.149999999999999" customHeight="1" x14ac:dyDescent="0.45">
      <c r="B32" s="21"/>
      <c r="C32" s="140"/>
      <c r="G32" s="99"/>
      <c r="H32" s="65"/>
      <c r="I32" s="65"/>
      <c r="J32" s="65"/>
      <c r="K32" s="96"/>
      <c r="L32" s="23"/>
    </row>
    <row r="33" spans="2:14" ht="20.149999999999999" customHeight="1" x14ac:dyDescent="0.45">
      <c r="B33" s="21"/>
      <c r="C33" s="45"/>
      <c r="D33" s="440"/>
      <c r="E33" s="440"/>
      <c r="F33" s="440"/>
      <c r="G33" s="99"/>
      <c r="H33" s="65"/>
      <c r="I33" s="431"/>
      <c r="J33" s="431"/>
      <c r="K33" s="96"/>
      <c r="L33" s="23"/>
    </row>
    <row r="34" spans="2:14" ht="20.149999999999999" customHeight="1" thickBot="1" x14ac:dyDescent="0.5">
      <c r="B34" s="24"/>
      <c r="C34" s="25"/>
      <c r="D34" s="473"/>
      <c r="E34" s="473"/>
      <c r="F34" s="473"/>
      <c r="G34" s="25"/>
      <c r="H34" s="66"/>
      <c r="I34" s="66"/>
      <c r="J34" s="66"/>
      <c r="K34" s="26"/>
      <c r="L34" s="27"/>
    </row>
    <row r="35" spans="2:14" ht="20.149999999999999" customHeight="1" thickBot="1" x14ac:dyDescent="0.5">
      <c r="B35" s="28"/>
      <c r="L35" s="29"/>
    </row>
    <row r="36" spans="2:14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474" t="s">
        <v>13</v>
      </c>
      <c r="K36" s="475"/>
      <c r="L36" s="30">
        <f>SUM(L16:L35)</f>
        <v>175.5</v>
      </c>
      <c r="M36" s="95">
        <f>SUM(P18:P34)-L36*0.02</f>
        <v>54.936</v>
      </c>
      <c r="N36" s="248">
        <f>M36/L36</f>
        <v>0.31302564102564101</v>
      </c>
    </row>
    <row r="37" spans="2:14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0" t="s">
        <v>553</v>
      </c>
      <c r="K37" s="113">
        <v>6.54E-2</v>
      </c>
      <c r="L37" s="32">
        <f>L39</f>
        <v>13</v>
      </c>
    </row>
    <row r="38" spans="2:14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476" t="s">
        <v>555</v>
      </c>
      <c r="K38" s="477"/>
      <c r="L38" s="114">
        <f>L36/108*100</f>
        <v>162.5</v>
      </c>
    </row>
    <row r="39" spans="2:14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1" t="s">
        <v>554</v>
      </c>
      <c r="K39" s="112">
        <v>0.08</v>
      </c>
      <c r="L39" s="44">
        <f>L38*K39</f>
        <v>13</v>
      </c>
    </row>
    <row r="40" spans="2:14" ht="20.149999999999999" customHeight="1" thickBot="1" x14ac:dyDescent="0.5">
      <c r="B40" s="11" t="s">
        <v>748</v>
      </c>
      <c r="C40" s="10"/>
      <c r="D40" s="10"/>
      <c r="E40" s="10"/>
      <c r="F40" s="10"/>
      <c r="G40" s="10"/>
      <c r="H40" s="10"/>
      <c r="I40" s="10"/>
      <c r="J40" s="478" t="s">
        <v>21</v>
      </c>
      <c r="K40" s="479"/>
      <c r="L40" s="33">
        <f>L38+L39</f>
        <v>175.5</v>
      </c>
    </row>
    <row r="41" spans="2:14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4" ht="20.149999999999999" customHeight="1" x14ac:dyDescent="0.45">
      <c r="B42" s="183" t="s">
        <v>749</v>
      </c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H44" s="60" t="s">
        <v>334</v>
      </c>
      <c r="L44" s="29"/>
    </row>
    <row r="45" spans="2:14" ht="20.149999999999999" customHeight="1" x14ac:dyDescent="0.45">
      <c r="B45" s="28"/>
      <c r="L45" s="29"/>
    </row>
    <row r="46" spans="2:14" ht="20.149999999999999" customHeight="1" x14ac:dyDescent="0.45">
      <c r="B46" s="34"/>
      <c r="C46" s="35"/>
      <c r="D46" s="35"/>
      <c r="J46" s="35"/>
      <c r="K46" s="35"/>
      <c r="L46" s="36"/>
    </row>
    <row r="47" spans="2:14" ht="20.149999999999999" customHeight="1" x14ac:dyDescent="0.45">
      <c r="B47" s="28" t="s">
        <v>24</v>
      </c>
      <c r="J47" s="60" t="s">
        <v>25</v>
      </c>
      <c r="L47" s="29"/>
    </row>
    <row r="48" spans="2:14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49" spans="6:6" ht="20.5" x14ac:dyDescent="0.45">
      <c r="F49" s="317"/>
    </row>
  </sheetData>
  <mergeCells count="34">
    <mergeCell ref="D23:F23"/>
    <mergeCell ref="I23:J23"/>
    <mergeCell ref="I33:J33"/>
    <mergeCell ref="D31:F31"/>
    <mergeCell ref="J40:K40"/>
    <mergeCell ref="D33:F33"/>
    <mergeCell ref="D34:F34"/>
    <mergeCell ref="J36:K36"/>
    <mergeCell ref="J38:K38"/>
    <mergeCell ref="I24:J24"/>
    <mergeCell ref="I31:J31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conditionalFormatting sqref="C29:C30 C32">
    <cfRule type="duplicateValues" dxfId="19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304C5-E317-4FE1-BD85-DC6725327693}">
  <sheetPr codeName="Sheet85">
    <tabColor rgb="FF92D050"/>
    <pageSetUpPr fitToPage="1"/>
  </sheetPr>
  <dimension ref="B1:P37"/>
  <sheetViews>
    <sheetView topLeftCell="A20" zoomScaleNormal="100" workbookViewId="0">
      <selection activeCell="B1" sqref="B1:L37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502</v>
      </c>
      <c r="J10" s="17" t="s">
        <v>26</v>
      </c>
      <c r="K10" s="455">
        <v>202311138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TEL: 91858264                                       Blk 883 , Woodlands North Plaza. Woodlands Street 82.  #01-492 Singapore 730883</v>
      </c>
      <c r="G11" s="445"/>
      <c r="H11" s="446"/>
      <c r="J11" s="18" t="s">
        <v>9</v>
      </c>
      <c r="K11" s="460">
        <v>45236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1077</v>
      </c>
      <c r="D18" s="430" t="str">
        <f>VLOOKUP(C18,'Sales Master'!B$3:D$459,2,0)</f>
        <v>Brown Sugar 黑糖</v>
      </c>
      <c r="E18" s="430"/>
      <c r="F18" s="430"/>
      <c r="G18" s="45">
        <v>4</v>
      </c>
      <c r="H18" s="241" t="str">
        <f>VLOOKUP(C18,'Sales Master'!B$3:F$936,5,0)</f>
        <v>6 kgs</v>
      </c>
      <c r="I18" s="432" t="str">
        <f>VLOOKUP(C18,'Sales Master'!B$3:E$936,4,0)</f>
        <v>Star</v>
      </c>
      <c r="J18" s="432"/>
      <c r="K18" s="22">
        <f>VLOOKUP(C18,'Sales Master'!B$3:BN$527,65,0)</f>
        <v>17</v>
      </c>
      <c r="L18" s="71">
        <f>K18*G18</f>
        <v>68</v>
      </c>
      <c r="N18" s="247">
        <f>VLOOKUP(C18,'Sales Master'!$B$3:$FA$3051,156,0)</f>
        <v>12</v>
      </c>
      <c r="O18" s="247">
        <f>K18-N18</f>
        <v>5</v>
      </c>
      <c r="P18" s="247">
        <f>O18*G18</f>
        <v>20</v>
      </c>
    </row>
    <row r="19" spans="2:16" ht="20.149999999999999" customHeight="1" x14ac:dyDescent="0.45">
      <c r="B19" s="21"/>
      <c r="C19" s="338" t="s">
        <v>1085</v>
      </c>
      <c r="D19" s="430" t="str">
        <f>VLOOKUP(C19,'Sales Master'!B$3:D$459,2,0)</f>
        <v>Coconut Sugar 椰糖</v>
      </c>
      <c r="E19" s="430"/>
      <c r="F19" s="430"/>
      <c r="G19" s="45">
        <v>2</v>
      </c>
      <c r="H19" s="241" t="str">
        <f>VLOOKUP(C19,'Sales Master'!B$3:F$936,5,0)</f>
        <v>10kgs/ctn</v>
      </c>
      <c r="I19" s="432" t="str">
        <f>VLOOKUP(C19,'Sales Master'!B$3:E$936,4,0)</f>
        <v>2P</v>
      </c>
      <c r="J19" s="432"/>
      <c r="K19" s="22">
        <f>VLOOKUP(C19,'Sales Master'!B$3:BN$527,65,0)</f>
        <v>37</v>
      </c>
      <c r="L19" s="71">
        <f>K19*G19</f>
        <v>74</v>
      </c>
      <c r="N19" s="247">
        <f>VLOOKUP(C19,'Sales Master'!$B$3:$FA$3051,156,0)</f>
        <v>31</v>
      </c>
      <c r="O19" s="247">
        <f>K19-N19</f>
        <v>6</v>
      </c>
      <c r="P19" s="247">
        <f>O19*G19</f>
        <v>12</v>
      </c>
    </row>
    <row r="20" spans="2:16" ht="20.149999999999999" customHeight="1" x14ac:dyDescent="0.45">
      <c r="B20" s="21"/>
      <c r="C20" s="45"/>
      <c r="D20" s="69"/>
      <c r="E20" s="69"/>
      <c r="F20" s="69"/>
      <c r="G20" s="45"/>
      <c r="H20" s="241"/>
      <c r="I20" s="322"/>
      <c r="J20" s="322"/>
      <c r="K20" s="22"/>
      <c r="L20" s="71"/>
      <c r="N20" s="247"/>
      <c r="O20" s="247"/>
      <c r="P20" s="247"/>
    </row>
    <row r="21" spans="2:16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6" ht="20.149999999999999" customHeight="1" x14ac:dyDescent="0.45">
      <c r="B22" s="21"/>
      <c r="C22" s="45"/>
      <c r="D22" s="69"/>
      <c r="E22" s="69"/>
      <c r="F22" s="69"/>
      <c r="G22" s="45"/>
      <c r="H22" s="65"/>
      <c r="I22" s="65"/>
      <c r="J22" s="65"/>
      <c r="K22" s="22"/>
      <c r="L22" s="71"/>
    </row>
    <row r="23" spans="2:16" ht="20.149999999999999" customHeight="1" thickBot="1" x14ac:dyDescent="0.5">
      <c r="B23" s="24"/>
      <c r="C23" s="25"/>
      <c r="D23" s="473"/>
      <c r="E23" s="473"/>
      <c r="F23" s="473"/>
      <c r="G23" s="25"/>
      <c r="H23" s="66"/>
      <c r="I23" s="66"/>
      <c r="J23" s="66"/>
      <c r="K23" s="26"/>
      <c r="L23" s="27"/>
    </row>
    <row r="24" spans="2:16" ht="20.149999999999999" customHeight="1" thickBot="1" x14ac:dyDescent="0.5">
      <c r="B24" s="28"/>
      <c r="L24" s="29"/>
    </row>
    <row r="25" spans="2:16" ht="20.149999999999999" customHeight="1" x14ac:dyDescent="0.45">
      <c r="B25" s="11" t="s">
        <v>16</v>
      </c>
      <c r="C25" s="10"/>
      <c r="D25" s="10"/>
      <c r="E25" s="10"/>
      <c r="F25" s="10"/>
      <c r="G25" s="10"/>
      <c r="H25" s="10"/>
      <c r="I25" s="10"/>
      <c r="J25" s="474" t="s">
        <v>13</v>
      </c>
      <c r="K25" s="475"/>
      <c r="L25" s="30">
        <f>SUM(L18:L24)</f>
        <v>142</v>
      </c>
      <c r="M25" s="95">
        <f>SUM(P1:P23)-L25*0.02</f>
        <v>29.16</v>
      </c>
      <c r="N25" s="248">
        <f>M25/L25</f>
        <v>0.20535211267605633</v>
      </c>
    </row>
    <row r="26" spans="2:16" ht="20.149999999999999" customHeight="1" x14ac:dyDescent="0.45">
      <c r="B26" s="11" t="s">
        <v>17</v>
      </c>
      <c r="C26" s="10"/>
      <c r="D26" s="10"/>
      <c r="E26" s="10"/>
      <c r="F26" s="10"/>
      <c r="G26" s="10"/>
      <c r="H26" s="10"/>
      <c r="I26" s="10"/>
      <c r="J26" s="110" t="s">
        <v>553</v>
      </c>
      <c r="K26" s="113">
        <v>6.54E-2</v>
      </c>
      <c r="L26" s="32">
        <f>L28</f>
        <v>10.518518518518519</v>
      </c>
    </row>
    <row r="27" spans="2:16" ht="20.149999999999999" customHeight="1" x14ac:dyDescent="0.45">
      <c r="B27" s="11" t="s">
        <v>18</v>
      </c>
      <c r="C27" s="10"/>
      <c r="D27" s="10"/>
      <c r="E27" s="10"/>
      <c r="F27" s="10"/>
      <c r="G27" s="10"/>
      <c r="H27" s="10"/>
      <c r="I27" s="10"/>
      <c r="J27" s="476" t="s">
        <v>555</v>
      </c>
      <c r="K27" s="477"/>
      <c r="L27" s="114">
        <f>L25/108*100</f>
        <v>131.4814814814815</v>
      </c>
    </row>
    <row r="28" spans="2:16" ht="20.149999999999999" customHeight="1" x14ac:dyDescent="0.45">
      <c r="B28" s="11" t="s">
        <v>22</v>
      </c>
      <c r="C28" s="10"/>
      <c r="D28" s="10"/>
      <c r="E28" s="10"/>
      <c r="F28" s="10"/>
      <c r="G28" s="10"/>
      <c r="H28" s="10"/>
      <c r="I28" s="10"/>
      <c r="J28" s="111" t="s">
        <v>554</v>
      </c>
      <c r="K28" s="112">
        <v>0.08</v>
      </c>
      <c r="L28" s="44">
        <f>L27*K28</f>
        <v>10.518518518518519</v>
      </c>
    </row>
    <row r="29" spans="2:16" ht="20.149999999999999" customHeight="1" thickBot="1" x14ac:dyDescent="0.5">
      <c r="B29" s="11" t="s">
        <v>748</v>
      </c>
      <c r="C29" s="10"/>
      <c r="D29" s="10"/>
      <c r="E29" s="10"/>
      <c r="F29" s="10"/>
      <c r="G29" s="10"/>
      <c r="H29" s="10"/>
      <c r="I29" s="10"/>
      <c r="J29" s="478" t="s">
        <v>21</v>
      </c>
      <c r="K29" s="479"/>
      <c r="L29" s="33">
        <f>L27+L28</f>
        <v>142</v>
      </c>
    </row>
    <row r="30" spans="2:16" ht="20.149999999999999" customHeight="1" x14ac:dyDescent="0.45">
      <c r="B30" s="11" t="s">
        <v>23</v>
      </c>
      <c r="C30" s="10"/>
      <c r="D30" s="10"/>
      <c r="E30" s="10"/>
      <c r="F30" s="10"/>
      <c r="G30" s="10"/>
      <c r="H30" s="10"/>
      <c r="I30" s="10"/>
      <c r="L30" s="29"/>
    </row>
    <row r="31" spans="2:16" ht="20.149999999999999" customHeight="1" x14ac:dyDescent="0.45">
      <c r="B31" s="183" t="s">
        <v>749</v>
      </c>
      <c r="L31" s="29"/>
    </row>
    <row r="32" spans="2:16" ht="20.149999999999999" customHeight="1" x14ac:dyDescent="0.45">
      <c r="B32" s="28"/>
      <c r="L32" s="29"/>
    </row>
    <row r="33" spans="2:12" ht="20.149999999999999" customHeight="1" x14ac:dyDescent="0.45">
      <c r="B33" s="28"/>
      <c r="L33" s="29"/>
    </row>
    <row r="34" spans="2:12" ht="20.149999999999999" customHeight="1" x14ac:dyDescent="0.45">
      <c r="B34" s="28"/>
      <c r="L34" s="29"/>
    </row>
    <row r="35" spans="2:12" ht="20.149999999999999" customHeight="1" x14ac:dyDescent="0.45">
      <c r="B35" s="34"/>
      <c r="C35" s="35"/>
      <c r="D35" s="35"/>
      <c r="J35" s="35"/>
      <c r="K35" s="35"/>
      <c r="L35" s="36"/>
    </row>
    <row r="36" spans="2:12" ht="20.149999999999999" customHeight="1" x14ac:dyDescent="0.45">
      <c r="B36" s="28" t="s">
        <v>24</v>
      </c>
      <c r="J36" s="60" t="s">
        <v>25</v>
      </c>
      <c r="L36" s="29"/>
    </row>
    <row r="37" spans="2:12" ht="19" thickBot="1" x14ac:dyDescent="0.5">
      <c r="B37" s="37"/>
      <c r="C37" s="62"/>
      <c r="D37" s="62"/>
      <c r="E37" s="62"/>
      <c r="F37" s="62"/>
      <c r="G37" s="62"/>
      <c r="H37" s="62"/>
      <c r="I37" s="62"/>
      <c r="J37" s="62"/>
      <c r="K37" s="62"/>
      <c r="L37" s="38"/>
    </row>
  </sheetData>
  <mergeCells count="25">
    <mergeCell ref="B1:L8"/>
    <mergeCell ref="D17:F17"/>
    <mergeCell ref="I17:J17"/>
    <mergeCell ref="D18:F18"/>
    <mergeCell ref="I18:J18"/>
    <mergeCell ref="B15:D15"/>
    <mergeCell ref="K15:L15"/>
    <mergeCell ref="B12:D12"/>
    <mergeCell ref="K12:L12"/>
    <mergeCell ref="B13:D13"/>
    <mergeCell ref="K13:L13"/>
    <mergeCell ref="B14:D14"/>
    <mergeCell ref="K14:L14"/>
    <mergeCell ref="D19:F19"/>
    <mergeCell ref="K10:L10"/>
    <mergeCell ref="B11:D11"/>
    <mergeCell ref="F11:H15"/>
    <mergeCell ref="K11:L11"/>
    <mergeCell ref="I19:J19"/>
    <mergeCell ref="J29:K29"/>
    <mergeCell ref="D23:F23"/>
    <mergeCell ref="J25:K25"/>
    <mergeCell ref="J27:K27"/>
    <mergeCell ref="D21:F21"/>
    <mergeCell ref="I21:J21"/>
  </mergeCells>
  <pageMargins left="0.70866141732283472" right="0.31496062992125984" top="0.55118110236220474" bottom="0" header="0.31496062992125984" footer="0.31496062992125984"/>
  <pageSetup paperSize="9" scale="76" orientation="portrait" horizontalDpi="300" verticalDpi="3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835D-0878-4838-A9D7-E917561649A4}">
  <sheetPr codeName="Sheet149">
    <tabColor rgb="FF92D050"/>
    <pageSetUpPr fitToPage="1"/>
  </sheetPr>
  <dimension ref="B1:W47"/>
  <sheetViews>
    <sheetView zoomScaleNormal="100" workbookViewId="0">
      <selection activeCell="G24" sqref="G24"/>
    </sheetView>
  </sheetViews>
  <sheetFormatPr defaultColWidth="12.54296875" defaultRowHeight="17" x14ac:dyDescent="0.4"/>
  <cols>
    <col min="1" max="3" width="12.54296875" style="144"/>
    <col min="4" max="4" width="14.54296875" style="144" customWidth="1"/>
    <col min="5" max="5" width="3.54296875" style="144" customWidth="1"/>
    <col min="6" max="6" width="14.54296875" style="144" customWidth="1"/>
    <col min="7" max="7" width="8.54296875" style="144" customWidth="1"/>
    <col min="8" max="8" width="19.26953125" style="144" customWidth="1"/>
    <col min="9" max="9" width="2.54296875" style="144" customWidth="1"/>
    <col min="10" max="10" width="15.54296875" style="144" customWidth="1"/>
    <col min="11" max="11" width="10.54296875" style="144" customWidth="1"/>
    <col min="12" max="16384" width="12.54296875" style="144"/>
  </cols>
  <sheetData>
    <row r="1" spans="2:18" ht="18.5" customHeight="1" x14ac:dyDescent="0.4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8" ht="18.5" customHeight="1" x14ac:dyDescent="0.4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8" ht="18.5" customHeight="1" x14ac:dyDescent="0.4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8" ht="18.5" customHeight="1" x14ac:dyDescent="0.4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8" ht="18.5" customHeight="1" x14ac:dyDescent="0.4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8" ht="18.5" customHeight="1" x14ac:dyDescent="0.4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8" ht="18.5" customHeight="1" x14ac:dyDescent="0.4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8" ht="19" customHeight="1" thickBot="1" x14ac:dyDescent="0.4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8" ht="19" thickBot="1" x14ac:dyDescent="0.5">
      <c r="B9" s="12"/>
      <c r="C9" s="60"/>
      <c r="D9" s="60"/>
      <c r="E9" s="60"/>
      <c r="F9" s="60"/>
      <c r="G9" s="60"/>
      <c r="H9" s="60"/>
      <c r="I9" s="60"/>
      <c r="J9" s="60"/>
      <c r="K9" s="60"/>
      <c r="L9" s="60"/>
    </row>
    <row r="10" spans="2:18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443</v>
      </c>
      <c r="I10" s="60"/>
      <c r="J10" s="17" t="s">
        <v>26</v>
      </c>
      <c r="K10" s="455">
        <v>202209312</v>
      </c>
      <c r="L10" s="456"/>
    </row>
    <row r="11" spans="2:18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甜品站                                                        335 Smith Street. Chinatown Complex. #02-146 Singapore 050335.</v>
      </c>
      <c r="G11" s="445"/>
      <c r="H11" s="446"/>
      <c r="I11" s="60"/>
      <c r="J11" s="18" t="s">
        <v>9</v>
      </c>
      <c r="K11" s="460">
        <v>44824</v>
      </c>
      <c r="L11" s="461"/>
    </row>
    <row r="12" spans="2:18" ht="20.149999999999999" customHeight="1" x14ac:dyDescent="0.45">
      <c r="B12" s="462"/>
      <c r="C12" s="463"/>
      <c r="D12" s="464"/>
      <c r="E12" s="61"/>
      <c r="F12" s="447"/>
      <c r="G12" s="448"/>
      <c r="H12" s="449"/>
      <c r="I12" s="60"/>
      <c r="J12" s="18" t="s">
        <v>81</v>
      </c>
      <c r="K12" s="465" t="s">
        <v>312</v>
      </c>
      <c r="L12" s="466"/>
    </row>
    <row r="13" spans="2:18" ht="20.149999999999999" customHeight="1" x14ac:dyDescent="0.45">
      <c r="B13" s="462"/>
      <c r="C13" s="463"/>
      <c r="D13" s="464"/>
      <c r="E13" s="61"/>
      <c r="F13" s="447"/>
      <c r="G13" s="448"/>
      <c r="H13" s="449"/>
      <c r="I13" s="60"/>
      <c r="J13" s="18" t="s">
        <v>10</v>
      </c>
      <c r="K13" s="465" t="s">
        <v>374</v>
      </c>
      <c r="L13" s="466"/>
    </row>
    <row r="14" spans="2:18" ht="20.149999999999999" customHeight="1" x14ac:dyDescent="0.45">
      <c r="B14" s="462"/>
      <c r="C14" s="463"/>
      <c r="D14" s="464"/>
      <c r="E14" s="61"/>
      <c r="F14" s="447"/>
      <c r="G14" s="448"/>
      <c r="H14" s="449"/>
      <c r="I14" s="60"/>
      <c r="J14" s="18" t="s">
        <v>27</v>
      </c>
      <c r="K14" s="465" t="s">
        <v>14</v>
      </c>
      <c r="L14" s="466"/>
      <c r="N14" s="507" t="s">
        <v>1220</v>
      </c>
      <c r="O14" s="507"/>
      <c r="P14" s="507"/>
      <c r="Q14" s="507"/>
      <c r="R14" s="507"/>
    </row>
    <row r="15" spans="2:18" ht="18" customHeight="1" thickBot="1" x14ac:dyDescent="0.5">
      <c r="B15" s="467"/>
      <c r="C15" s="468"/>
      <c r="D15" s="469"/>
      <c r="E15" s="14"/>
      <c r="F15" s="450"/>
      <c r="G15" s="451"/>
      <c r="H15" s="452"/>
      <c r="I15" s="60"/>
      <c r="J15" s="19" t="s">
        <v>11</v>
      </c>
      <c r="K15" s="483"/>
      <c r="L15" s="484"/>
    </row>
    <row r="16" spans="2:18" ht="19" thickBot="1" x14ac:dyDescent="0.5">
      <c r="B16" s="60"/>
      <c r="C16" s="60"/>
      <c r="D16" s="60"/>
      <c r="E16" s="60"/>
      <c r="F16" s="60"/>
      <c r="G16" s="60"/>
      <c r="H16" s="60"/>
      <c r="I16" s="60"/>
      <c r="J16" s="45"/>
      <c r="K16" s="60"/>
      <c r="L16" s="60"/>
    </row>
    <row r="17" spans="2:23" ht="30" customHeight="1" thickBot="1" x14ac:dyDescent="0.45">
      <c r="B17" s="281" t="s">
        <v>2</v>
      </c>
      <c r="C17" s="282" t="s">
        <v>3</v>
      </c>
      <c r="D17" s="508" t="s">
        <v>4</v>
      </c>
      <c r="E17" s="509"/>
      <c r="F17" s="510"/>
      <c r="G17" s="283" t="s">
        <v>335</v>
      </c>
      <c r="H17" s="282" t="s">
        <v>28</v>
      </c>
      <c r="I17" s="508" t="s">
        <v>57</v>
      </c>
      <c r="J17" s="510"/>
      <c r="K17" s="282" t="s">
        <v>5</v>
      </c>
      <c r="L17" s="284" t="s">
        <v>6</v>
      </c>
      <c r="M17" s="285"/>
      <c r="N17" s="286" t="s">
        <v>765</v>
      </c>
      <c r="O17" s="286" t="s">
        <v>1243</v>
      </c>
      <c r="P17" s="286" t="s">
        <v>1244</v>
      </c>
    </row>
    <row r="18" spans="2:23" ht="20.149999999999999" customHeight="1" x14ac:dyDescent="0.45">
      <c r="B18" s="287"/>
      <c r="C18" s="45" t="s">
        <v>820</v>
      </c>
      <c r="D18" s="511" t="str">
        <f>VLOOKUP(C18,'Sales Master'!B$3:D$644,2,0)</f>
        <v>Durian Puree 榴莲浆</v>
      </c>
      <c r="E18" s="511"/>
      <c r="F18" s="511"/>
      <c r="G18" s="45">
        <v>1</v>
      </c>
      <c r="H18" s="206" t="str">
        <f>VLOOKUP(C18,'Sales Master'!B$3:F$936,5,0)</f>
        <v>Box/盒</v>
      </c>
      <c r="I18" s="491" t="str">
        <f>VLOOKUP(C18,'Sales Master'!B$3:E$936,4,0)</f>
        <v>DO!</v>
      </c>
      <c r="J18" s="491"/>
      <c r="K18" s="22">
        <f>VLOOKUP(C18,'Sales Master'!B$3:M$527,12,0)</f>
        <v>8</v>
      </c>
      <c r="L18" s="71">
        <f>K18*G18</f>
        <v>8</v>
      </c>
      <c r="M18" s="60"/>
      <c r="N18" s="247">
        <f>VLOOKUP(C18,'Sales Master'!$B$3:$FA$3051,156,0)</f>
        <v>4.71</v>
      </c>
      <c r="O18" s="247">
        <f>K18-N18</f>
        <v>3.29</v>
      </c>
      <c r="P18" s="247">
        <f>O18*G18</f>
        <v>3.29</v>
      </c>
      <c r="R18" s="144">
        <v>1</v>
      </c>
    </row>
    <row r="19" spans="2:23" ht="20.149999999999999" customHeight="1" x14ac:dyDescent="0.45">
      <c r="B19" s="287"/>
      <c r="C19" s="45" t="s">
        <v>831</v>
      </c>
      <c r="D19" s="430" t="str">
        <f>VLOOKUP(C19,'Sales Master'!B$3:D$644,2,0)</f>
        <v>Chendol 浆咯</v>
      </c>
      <c r="E19" s="430"/>
      <c r="F19" s="430"/>
      <c r="G19" s="45">
        <v>2</v>
      </c>
      <c r="H19" s="206" t="str">
        <f>VLOOKUP(C19,'Sales Master'!B$3:F$936,5,0)</f>
        <v>NW(2.2:0.8) 3 KGS/ Bag</v>
      </c>
      <c r="I19" s="432" t="str">
        <f>VLOOKUP(C19,'Sales Master'!B$3:E$936,4,0)</f>
        <v>DO!</v>
      </c>
      <c r="J19" s="432"/>
      <c r="K19" s="22">
        <f>VLOOKUP(C19,'Sales Master'!B$3:M$527,12,0)</f>
        <v>7</v>
      </c>
      <c r="L19" s="71">
        <f t="shared" ref="L19" si="0">K19*G19</f>
        <v>14</v>
      </c>
      <c r="M19" s="60"/>
      <c r="N19" s="247">
        <f>VLOOKUP(C19,'Sales Master'!$B$3:$FA$3051,156,0)</f>
        <v>2.44</v>
      </c>
      <c r="O19" s="247">
        <f t="shared" ref="O19" si="1">K19-N19</f>
        <v>4.5600000000000005</v>
      </c>
      <c r="P19" s="247">
        <f t="shared" ref="P19" si="2">O19*G19</f>
        <v>9.120000000000001</v>
      </c>
      <c r="R19" s="144">
        <v>1</v>
      </c>
      <c r="S19" s="144" t="s">
        <v>33</v>
      </c>
      <c r="T19" s="144" t="s">
        <v>31</v>
      </c>
      <c r="V19" s="144">
        <v>6</v>
      </c>
      <c r="W19" s="144">
        <v>6</v>
      </c>
    </row>
    <row r="20" spans="2:23" ht="20.149999999999999" customHeight="1" x14ac:dyDescent="0.45">
      <c r="B20" s="287"/>
      <c r="C20" s="45" t="s">
        <v>849</v>
      </c>
      <c r="D20" s="430" t="str">
        <f>VLOOKUP(C20,'Sales Master'!B$3:D$644,2,0)</f>
        <v>Tadpole 蝌蚪</v>
      </c>
      <c r="E20" s="430"/>
      <c r="F20" s="430"/>
      <c r="G20" s="45">
        <v>1</v>
      </c>
      <c r="H20" s="206" t="str">
        <f>VLOOKUP(C20,'Sales Master'!B$3:F$936,5,0)</f>
        <v>1 kg/Bag</v>
      </c>
      <c r="I20" s="432" t="str">
        <f>VLOOKUP(C20,'Sales Master'!B$3:E$936,4,0)</f>
        <v>FJ</v>
      </c>
      <c r="J20" s="432"/>
      <c r="K20" s="22">
        <f>VLOOKUP(C20,'Sales Master'!B$3:M$527,12,0)</f>
        <v>6.5</v>
      </c>
      <c r="L20" s="71">
        <f t="shared" ref="L20:L26" si="3">K20*G20</f>
        <v>6.5</v>
      </c>
      <c r="M20" s="60"/>
      <c r="N20" s="247">
        <f>VLOOKUP(C20,'Sales Master'!$B$3:$FA$3051,156,0)</f>
        <v>5.5</v>
      </c>
      <c r="O20" s="247">
        <f t="shared" ref="O20:O26" si="4">K20-N20</f>
        <v>1</v>
      </c>
      <c r="P20" s="247">
        <f t="shared" ref="P20:P26" si="5">O20*G20</f>
        <v>1</v>
      </c>
      <c r="R20" s="144">
        <v>1</v>
      </c>
      <c r="S20" s="144" t="s">
        <v>42</v>
      </c>
      <c r="T20" s="144" t="s">
        <v>401</v>
      </c>
      <c r="V20" s="144">
        <v>18</v>
      </c>
      <c r="W20" s="144">
        <v>18</v>
      </c>
    </row>
    <row r="21" spans="2:23" ht="20.149999999999999" customHeight="1" x14ac:dyDescent="0.45">
      <c r="B21" s="287"/>
      <c r="C21" s="45" t="s">
        <v>916</v>
      </c>
      <c r="D21" s="430" t="str">
        <f>VLOOKUP(C21,'Sales Master'!B$3:D$644,2,0)</f>
        <v>Atap Seeds in Syrup 亚嗒子</v>
      </c>
      <c r="E21" s="430"/>
      <c r="F21" s="430"/>
      <c r="G21" s="45">
        <v>1</v>
      </c>
      <c r="H21" s="206" t="str">
        <f>VLOOKUP(C21,'Sales Master'!B$3:F$936,5,0)</f>
        <v>NW (1.6:0.6) 2.2 kgs</v>
      </c>
      <c r="I21" s="432" t="str">
        <f>VLOOKUP(C21,'Sales Master'!B$3:E$936,4,0)</f>
        <v>2P</v>
      </c>
      <c r="J21" s="432"/>
      <c r="K21" s="22">
        <f>VLOOKUP(C21,'Sales Master'!B$3:M$527,12,0)</f>
        <v>10.5</v>
      </c>
      <c r="L21" s="71">
        <f t="shared" si="3"/>
        <v>10.5</v>
      </c>
      <c r="M21" s="60"/>
      <c r="N21" s="247">
        <f>VLOOKUP(C21,'Sales Master'!$B$3:$FA$3051,156,0)</f>
        <v>8.1462857142857139</v>
      </c>
      <c r="O21" s="247">
        <f t="shared" si="4"/>
        <v>2.3537142857142861</v>
      </c>
      <c r="P21" s="247">
        <f t="shared" si="5"/>
        <v>2.3537142857142861</v>
      </c>
      <c r="R21" s="144">
        <v>1</v>
      </c>
    </row>
    <row r="22" spans="2:23" ht="20.149999999999999" customHeight="1" x14ac:dyDescent="0.45">
      <c r="B22" s="287"/>
      <c r="C22" s="45" t="s">
        <v>921</v>
      </c>
      <c r="D22" s="430" t="str">
        <f>VLOOKUP(C22,'Sales Master'!B$3:D$644,2,0)</f>
        <v>GingKo Nut (Peel off) 白果仁</v>
      </c>
      <c r="E22" s="430"/>
      <c r="F22" s="430"/>
      <c r="G22" s="45">
        <v>6</v>
      </c>
      <c r="H22" s="206" t="str">
        <f>VLOOKUP(C22,'Sales Master'!B$3:F$936,5,0)</f>
        <v>1 kg (2 包)</v>
      </c>
      <c r="I22" s="432" t="str">
        <f>VLOOKUP(C22,'Sales Master'!B$3:E$936,4,0)</f>
        <v>-</v>
      </c>
      <c r="J22" s="432"/>
      <c r="K22" s="22">
        <f>VLOOKUP(C22,'Sales Master'!B$3:M$527,12,0)</f>
        <v>5</v>
      </c>
      <c r="L22" s="71">
        <f t="shared" si="3"/>
        <v>30</v>
      </c>
      <c r="M22" s="60"/>
      <c r="N22" s="247">
        <f>VLOOKUP(C22,'Sales Master'!$B$3:$FA$3051,156,0)</f>
        <v>3.06</v>
      </c>
      <c r="O22" s="247">
        <f t="shared" si="4"/>
        <v>1.94</v>
      </c>
      <c r="P22" s="247">
        <f t="shared" si="5"/>
        <v>11.64</v>
      </c>
      <c r="R22" s="144">
        <v>1</v>
      </c>
      <c r="W22" s="144">
        <v>44</v>
      </c>
    </row>
    <row r="23" spans="2:23" ht="20.149999999999999" customHeight="1" x14ac:dyDescent="0.45">
      <c r="B23" s="287"/>
      <c r="C23" s="45" t="s">
        <v>1046</v>
      </c>
      <c r="D23" s="430" t="str">
        <f>VLOOKUP(C23,'Sales Master'!B$3:D$644,2,0)</f>
        <v>Evaporated Creamer 淡奶水</v>
      </c>
      <c r="E23" s="430"/>
      <c r="F23" s="430"/>
      <c r="G23" s="45">
        <v>1</v>
      </c>
      <c r="H23" s="206" t="str">
        <f>VLOOKUP(C23,'Sales Master'!B$3:F$936,5,0)</f>
        <v>48 can/Ctn</v>
      </c>
      <c r="I23" s="432" t="str">
        <f>VLOOKUP(C23,'Sales Master'!B$3:E$936,4,0)</f>
        <v>Marigold</v>
      </c>
      <c r="J23" s="432"/>
      <c r="K23" s="22">
        <f>VLOOKUP(C23,'Sales Master'!B$3:M$527,12,0)</f>
        <v>58</v>
      </c>
      <c r="L23" s="71">
        <f t="shared" si="3"/>
        <v>58</v>
      </c>
      <c r="M23" s="60"/>
      <c r="N23" s="247">
        <f>VLOOKUP(C23,'Sales Master'!$B$3:$FA$3051,156,0)</f>
        <v>49.5</v>
      </c>
      <c r="O23" s="247">
        <f t="shared" si="4"/>
        <v>8.5</v>
      </c>
      <c r="P23" s="247">
        <f t="shared" si="5"/>
        <v>8.5</v>
      </c>
      <c r="R23" s="144">
        <v>1</v>
      </c>
    </row>
    <row r="24" spans="2:23" ht="20.149999999999999" customHeight="1" x14ac:dyDescent="0.45">
      <c r="B24" s="287"/>
      <c r="C24" s="45" t="s">
        <v>1020</v>
      </c>
      <c r="D24" s="430" t="str">
        <f>VLOOKUP(C24,'Sales Master'!B$3:D$644,2,0)</f>
        <v>Sea Coconut 海底椰</v>
      </c>
      <c r="E24" s="430"/>
      <c r="F24" s="430"/>
      <c r="G24" s="45">
        <v>3</v>
      </c>
      <c r="H24" s="206" t="str">
        <f>VLOOKUP(C24,'Sales Master'!B$3:F$936,5,0)</f>
        <v>1 Can X A10</v>
      </c>
      <c r="I24" s="432" t="str">
        <f>VLOOKUP(C24,'Sales Master'!B$3:E$936,4,0)</f>
        <v>Chefs</v>
      </c>
      <c r="J24" s="432"/>
      <c r="K24" s="22">
        <f>VLOOKUP(C24,'Sales Master'!B$3:M$527,12,0)</f>
        <v>19</v>
      </c>
      <c r="L24" s="71">
        <f t="shared" si="3"/>
        <v>57</v>
      </c>
      <c r="M24" s="60"/>
      <c r="N24" s="247">
        <f>VLOOKUP(C24,'Sales Master'!$B$3:$FA$3051,156,0)</f>
        <v>14.333333333333334</v>
      </c>
      <c r="O24" s="247">
        <f t="shared" si="4"/>
        <v>4.6666666666666661</v>
      </c>
      <c r="P24" s="247">
        <f t="shared" si="5"/>
        <v>13.999999999999998</v>
      </c>
      <c r="R24" s="144">
        <v>1</v>
      </c>
    </row>
    <row r="25" spans="2:23" ht="20.149999999999999" customHeight="1" x14ac:dyDescent="0.45">
      <c r="B25" s="287"/>
      <c r="C25" s="45" t="s">
        <v>1085</v>
      </c>
      <c r="D25" s="430" t="str">
        <f>VLOOKUP(C25,'Sales Master'!B$3:D$644,2,0)</f>
        <v>Coconut Sugar 椰糖</v>
      </c>
      <c r="E25" s="430"/>
      <c r="F25" s="430"/>
      <c r="G25" s="45">
        <v>1</v>
      </c>
      <c r="H25" s="206" t="str">
        <f>VLOOKUP(C25,'Sales Master'!B$3:F$936,5,0)</f>
        <v>10kgs/ctn</v>
      </c>
      <c r="I25" s="432" t="str">
        <f>VLOOKUP(C25,'Sales Master'!B$3:E$936,4,0)</f>
        <v>2P</v>
      </c>
      <c r="J25" s="432"/>
      <c r="K25" s="22">
        <f>VLOOKUP(C25,'Sales Master'!B$3:M$527,12,0)</f>
        <v>38</v>
      </c>
      <c r="L25" s="71">
        <f t="shared" si="3"/>
        <v>38</v>
      </c>
      <c r="M25" s="60"/>
      <c r="N25" s="247">
        <f>VLOOKUP(C25,'Sales Master'!$B$3:$FA$3051,156,0)</f>
        <v>31</v>
      </c>
      <c r="O25" s="247">
        <f t="shared" si="4"/>
        <v>7</v>
      </c>
      <c r="P25" s="247">
        <f t="shared" si="5"/>
        <v>7</v>
      </c>
      <c r="R25" s="144">
        <v>1</v>
      </c>
    </row>
    <row r="26" spans="2:23" ht="20.149999999999999" customHeight="1" x14ac:dyDescent="0.45">
      <c r="B26" s="287"/>
      <c r="C26" s="45" t="s">
        <v>1089</v>
      </c>
      <c r="D26" s="430" t="str">
        <f>VLOOKUP(C26,'Sales Master'!B$3:D$644,2,0)</f>
        <v>Candy Sugar 片糖</v>
      </c>
      <c r="E26" s="430"/>
      <c r="F26" s="430"/>
      <c r="G26" s="45">
        <v>1</v>
      </c>
      <c r="H26" s="206" t="str">
        <f>VLOOKUP(C26,'Sales Master'!B$3:F$936,5,0)</f>
        <v>400gms x 50pkt/ctn</v>
      </c>
      <c r="I26" s="432" t="str">
        <f>VLOOKUP(C26,'Sales Master'!B$3:E$936,4,0)</f>
        <v>-</v>
      </c>
      <c r="J26" s="432"/>
      <c r="K26" s="22">
        <f>VLOOKUP(C26,'Sales Master'!B$3:M$527,12,0)</f>
        <v>48</v>
      </c>
      <c r="L26" s="71">
        <f t="shared" si="3"/>
        <v>48</v>
      </c>
      <c r="M26" s="60"/>
      <c r="N26" s="247">
        <f>VLOOKUP(C26,'Sales Master'!$B$3:$FA$3051,156,0)</f>
        <v>40</v>
      </c>
      <c r="O26" s="247">
        <f t="shared" si="4"/>
        <v>8</v>
      </c>
      <c r="P26" s="247">
        <f t="shared" si="5"/>
        <v>8</v>
      </c>
    </row>
    <row r="27" spans="2:23" ht="20.149999999999999" customHeight="1" x14ac:dyDescent="0.45">
      <c r="B27" s="287"/>
      <c r="C27" s="45"/>
      <c r="D27" s="430"/>
      <c r="E27" s="430"/>
      <c r="F27" s="430"/>
      <c r="G27" s="45"/>
      <c r="H27" s="206"/>
      <c r="I27" s="432"/>
      <c r="J27" s="432"/>
      <c r="K27" s="22"/>
      <c r="L27" s="71"/>
      <c r="M27" s="60"/>
      <c r="N27" s="247"/>
      <c r="O27" s="247"/>
      <c r="P27" s="247"/>
    </row>
    <row r="28" spans="2:23" ht="20.149999999999999" customHeight="1" x14ac:dyDescent="0.4">
      <c r="B28" s="287"/>
      <c r="C28" s="148"/>
      <c r="D28" s="291"/>
      <c r="E28" s="291"/>
      <c r="F28" s="291"/>
      <c r="G28" s="148"/>
      <c r="H28" s="148"/>
      <c r="I28" s="148"/>
      <c r="J28" s="148"/>
      <c r="K28" s="288"/>
      <c r="L28" s="289"/>
      <c r="N28" s="290"/>
      <c r="O28" s="290"/>
      <c r="P28" s="290"/>
    </row>
    <row r="29" spans="2:23" ht="20.149999999999999" customHeight="1" x14ac:dyDescent="0.45">
      <c r="B29" s="287"/>
      <c r="C29" s="172" t="s">
        <v>1370</v>
      </c>
      <c r="D29" s="69"/>
      <c r="E29" s="69"/>
      <c r="F29" s="69"/>
      <c r="G29" s="99"/>
      <c r="H29" s="65"/>
      <c r="I29" s="65"/>
      <c r="J29" s="65"/>
      <c r="K29" s="22"/>
      <c r="L29" s="289"/>
      <c r="N29" s="290"/>
      <c r="O29" s="290"/>
      <c r="P29" s="290"/>
    </row>
    <row r="30" spans="2:23" ht="20.149999999999999" customHeight="1" x14ac:dyDescent="0.45">
      <c r="B30" s="287"/>
      <c r="C30" s="45" t="s">
        <v>1046</v>
      </c>
      <c r="D30" s="430" t="str">
        <f>VLOOKUP(C30,'Sales Master'!B$3:D$644,2,0)</f>
        <v>Evaporated Creamer 淡奶水</v>
      </c>
      <c r="E30" s="430"/>
      <c r="F30" s="430"/>
      <c r="G30" s="45">
        <v>1</v>
      </c>
      <c r="H30" s="206" t="str">
        <f>VLOOKUP(C30,'Sales Master'!B$3:F$936,5,0)</f>
        <v>48 can/Ctn</v>
      </c>
      <c r="I30" s="432" t="str">
        <f>VLOOKUP(C30,'Sales Master'!B$3:E$936,4,0)</f>
        <v>Marigold</v>
      </c>
      <c r="J30" s="432"/>
      <c r="K30" s="22">
        <v>55</v>
      </c>
      <c r="L30" s="71"/>
      <c r="N30" s="290"/>
      <c r="O30" s="290"/>
      <c r="P30" s="290"/>
    </row>
    <row r="31" spans="2:23" ht="20.149999999999999" customHeight="1" x14ac:dyDescent="0.45">
      <c r="B31" s="287"/>
      <c r="C31" s="45" t="s">
        <v>1080</v>
      </c>
      <c r="D31" s="430" t="str">
        <f>VLOOKUP(C31,'Sales Master'!B$3:D$644,2,0)</f>
        <v>Fine Sugar 白糖</v>
      </c>
      <c r="E31" s="430"/>
      <c r="F31" s="430"/>
      <c r="G31" s="45">
        <v>1</v>
      </c>
      <c r="H31" s="206" t="str">
        <f>VLOOKUP(C31,'Sales Master'!B$3:F$936,5,0)</f>
        <v>25 KGS</v>
      </c>
      <c r="I31" s="432" t="str">
        <f>VLOOKUP(C31,'Sales Master'!B$3:E$936,4,0)</f>
        <v>MITR PHOL</v>
      </c>
      <c r="J31" s="432"/>
      <c r="K31" s="22">
        <f>VLOOKUP(C31,'Sales Master'!B$3:M$527,12,0)</f>
        <v>33</v>
      </c>
      <c r="L31" s="71"/>
      <c r="N31" s="290"/>
      <c r="O31" s="290"/>
      <c r="P31" s="290"/>
    </row>
    <row r="32" spans="2:23" ht="20.149999999999999" customHeight="1" x14ac:dyDescent="0.45">
      <c r="B32" s="287"/>
      <c r="C32" s="99"/>
      <c r="D32" s="430"/>
      <c r="E32" s="430"/>
      <c r="F32" s="430"/>
      <c r="G32" s="99"/>
      <c r="H32" s="65"/>
      <c r="I32" s="431"/>
      <c r="J32" s="431"/>
      <c r="K32" s="22"/>
      <c r="L32" s="289"/>
      <c r="N32" s="290"/>
      <c r="O32" s="290"/>
      <c r="P32" s="290"/>
    </row>
    <row r="33" spans="2:14" ht="20.149999999999999" customHeight="1" thickBot="1" x14ac:dyDescent="0.45">
      <c r="B33" s="292"/>
      <c r="C33" s="279"/>
      <c r="D33" s="506"/>
      <c r="E33" s="506"/>
      <c r="F33" s="506"/>
      <c r="G33" s="279"/>
      <c r="H33" s="279"/>
      <c r="I33" s="279"/>
      <c r="J33" s="279"/>
      <c r="K33" s="293"/>
      <c r="L33" s="294"/>
    </row>
    <row r="34" spans="2:14" ht="20.149999999999999" customHeight="1" thickBot="1" x14ac:dyDescent="0.45">
      <c r="B34" s="295"/>
      <c r="L34" s="296"/>
    </row>
    <row r="35" spans="2:14" ht="20.149999999999999" customHeight="1" x14ac:dyDescent="0.45">
      <c r="B35" s="297" t="s">
        <v>16</v>
      </c>
      <c r="C35" s="150"/>
      <c r="D35" s="150"/>
      <c r="E35" s="150"/>
      <c r="F35" s="150"/>
      <c r="G35" s="150"/>
      <c r="H35" s="150"/>
      <c r="I35" s="150"/>
      <c r="J35" s="474" t="s">
        <v>13</v>
      </c>
      <c r="K35" s="475"/>
      <c r="L35" s="30">
        <f>SUM(L16:L34)</f>
        <v>270</v>
      </c>
      <c r="M35" s="95">
        <f>SUM(P18:P33)-L35*0.02</f>
        <v>59.503714285714288</v>
      </c>
      <c r="N35" s="298">
        <f>M35/L35</f>
        <v>0.22038412698412699</v>
      </c>
    </row>
    <row r="36" spans="2:14" ht="20.149999999999999" customHeight="1" x14ac:dyDescent="0.45">
      <c r="B36" s="297" t="s">
        <v>17</v>
      </c>
      <c r="C36" s="150"/>
      <c r="D36" s="150"/>
      <c r="E36" s="150"/>
      <c r="F36" s="150"/>
      <c r="G36" s="150"/>
      <c r="H36" s="150"/>
      <c r="I36" s="150"/>
      <c r="J36" s="110" t="s">
        <v>553</v>
      </c>
      <c r="K36" s="113">
        <v>6.54E-2</v>
      </c>
      <c r="L36" s="32">
        <f>L38</f>
        <v>17.66355140186916</v>
      </c>
      <c r="M36" s="60"/>
    </row>
    <row r="37" spans="2:14" ht="20.149999999999999" customHeight="1" x14ac:dyDescent="0.45">
      <c r="B37" s="297" t="s">
        <v>18</v>
      </c>
      <c r="C37" s="150"/>
      <c r="D37" s="150"/>
      <c r="E37" s="150"/>
      <c r="F37" s="150"/>
      <c r="G37" s="150"/>
      <c r="H37" s="150"/>
      <c r="I37" s="150"/>
      <c r="J37" s="476" t="s">
        <v>555</v>
      </c>
      <c r="K37" s="477"/>
      <c r="L37" s="114">
        <f>L35/107*100</f>
        <v>252.33644859813086</v>
      </c>
      <c r="M37" s="60"/>
    </row>
    <row r="38" spans="2:14" ht="20.149999999999999" customHeight="1" x14ac:dyDescent="0.45">
      <c r="B38" s="297" t="s">
        <v>22</v>
      </c>
      <c r="C38" s="150"/>
      <c r="D38" s="150"/>
      <c r="E38" s="150"/>
      <c r="F38" s="150"/>
      <c r="G38" s="150"/>
      <c r="H38" s="150"/>
      <c r="I38" s="150"/>
      <c r="J38" s="111" t="s">
        <v>554</v>
      </c>
      <c r="K38" s="112">
        <v>7.0000000000000007E-2</v>
      </c>
      <c r="L38" s="44">
        <f>L37*K38</f>
        <v>17.66355140186916</v>
      </c>
      <c r="M38" s="60"/>
    </row>
    <row r="39" spans="2:14" ht="20.149999999999999" customHeight="1" thickBot="1" x14ac:dyDescent="0.5">
      <c r="B39" s="297" t="s">
        <v>748</v>
      </c>
      <c r="C39" s="150"/>
      <c r="D39" s="150"/>
      <c r="E39" s="150"/>
      <c r="F39" s="150"/>
      <c r="G39" s="150"/>
      <c r="H39" s="150"/>
      <c r="I39" s="150"/>
      <c r="J39" s="478" t="s">
        <v>21</v>
      </c>
      <c r="K39" s="479"/>
      <c r="L39" s="33">
        <f>L37+L38</f>
        <v>270</v>
      </c>
      <c r="M39" s="60"/>
    </row>
    <row r="40" spans="2:14" ht="20.149999999999999" customHeight="1" x14ac:dyDescent="0.4">
      <c r="B40" s="297" t="s">
        <v>23</v>
      </c>
      <c r="C40" s="150"/>
      <c r="D40" s="150"/>
      <c r="E40" s="150"/>
      <c r="F40" s="150"/>
      <c r="G40" s="150"/>
      <c r="H40" s="150"/>
      <c r="I40" s="150"/>
      <c r="L40" s="296"/>
    </row>
    <row r="41" spans="2:14" ht="20.149999999999999" customHeight="1" x14ac:dyDescent="0.4">
      <c r="B41" s="299" t="s">
        <v>749</v>
      </c>
      <c r="L41" s="296"/>
    </row>
    <row r="42" spans="2:14" ht="20.149999999999999" customHeight="1" x14ac:dyDescent="0.4">
      <c r="B42" s="295"/>
      <c r="L42" s="296"/>
    </row>
    <row r="43" spans="2:14" ht="20.149999999999999" customHeight="1" x14ac:dyDescent="0.4">
      <c r="B43" s="295"/>
      <c r="L43" s="296"/>
    </row>
    <row r="44" spans="2:14" ht="20.149999999999999" customHeight="1" x14ac:dyDescent="0.4">
      <c r="B44" s="295"/>
      <c r="L44" s="296"/>
    </row>
    <row r="45" spans="2:14" ht="20.149999999999999" customHeight="1" x14ac:dyDescent="0.4">
      <c r="B45" s="300"/>
      <c r="C45" s="151"/>
      <c r="D45" s="151"/>
      <c r="J45" s="151"/>
      <c r="K45" s="151"/>
      <c r="L45" s="301"/>
    </row>
    <row r="46" spans="2:14" ht="20.149999999999999" customHeight="1" x14ac:dyDescent="0.4">
      <c r="B46" s="295" t="s">
        <v>24</v>
      </c>
      <c r="J46" s="144" t="s">
        <v>25</v>
      </c>
      <c r="L46" s="296"/>
    </row>
    <row r="47" spans="2:14" ht="17.5" thickBot="1" x14ac:dyDescent="0.45">
      <c r="B47" s="302"/>
      <c r="C47" s="152"/>
      <c r="D47" s="152"/>
      <c r="E47" s="152"/>
      <c r="F47" s="152"/>
      <c r="G47" s="152"/>
      <c r="H47" s="152"/>
      <c r="I47" s="152"/>
      <c r="J47" s="152"/>
      <c r="K47" s="152"/>
      <c r="L47" s="303"/>
    </row>
  </sheetData>
  <mergeCells count="46">
    <mergeCell ref="J39:K39"/>
    <mergeCell ref="D27:F27"/>
    <mergeCell ref="I27:J27"/>
    <mergeCell ref="D30:F30"/>
    <mergeCell ref="I30:J30"/>
    <mergeCell ref="D31:F31"/>
    <mergeCell ref="I31:J31"/>
    <mergeCell ref="D32:F32"/>
    <mergeCell ref="I32:J32"/>
    <mergeCell ref="D33:F33"/>
    <mergeCell ref="J35:K35"/>
    <mergeCell ref="J37:K37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8:F18"/>
    <mergeCell ref="I18:J18"/>
    <mergeCell ref="D19:F19"/>
    <mergeCell ref="I19:J19"/>
    <mergeCell ref="D20:F20"/>
    <mergeCell ref="I20:J20"/>
    <mergeCell ref="N14:R14"/>
    <mergeCell ref="B15:D15"/>
    <mergeCell ref="K15:L15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</mergeCells>
  <conditionalFormatting sqref="C29">
    <cfRule type="duplicateValues" dxfId="18" priority="1"/>
  </conditionalFormatting>
  <conditionalFormatting sqref="C30:C31">
    <cfRule type="duplicateValues" dxfId="17" priority="2"/>
  </conditionalFormatting>
  <pageMargins left="0.70866141732283472" right="0.31496062992125984" top="0.55118110236220474" bottom="0" header="0.31496062992125984" footer="0.31496062992125984"/>
  <pageSetup paperSize="9" scale="72" fitToHeight="0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108DB-D48C-4B7C-AC18-9DA63DD64F48}">
  <sheetPr codeName="Sheet35">
    <tabColor rgb="FF7030A0"/>
    <pageSetUpPr fitToPage="1"/>
  </sheetPr>
  <dimension ref="B8:P38"/>
  <sheetViews>
    <sheetView topLeftCell="B20" zoomScaleNormal="100" workbookViewId="0">
      <selection activeCell="N28" sqref="N2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20.1796875" style="60" customWidth="1"/>
    <col min="9" max="9" width="1.17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8" spans="2:12" ht="19" thickBot="1" x14ac:dyDescent="0.5"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580</v>
      </c>
      <c r="J10" s="17" t="s">
        <v>26</v>
      </c>
      <c r="K10" s="455">
        <v>202308586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TANJONG KATONG GIRLS' SCHOOL                                                   20, Dunman Ln. Singapore 439272</v>
      </c>
      <c r="G11" s="445"/>
      <c r="H11" s="446"/>
      <c r="J11" s="18" t="s">
        <v>9</v>
      </c>
      <c r="K11" s="460">
        <v>45163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822</v>
      </c>
      <c r="D18" s="430" t="str">
        <f>VLOOKUP(C18,'Sales Master'!B$3:D$316,2,0)</f>
        <v>Strawberry Puree 草莓</v>
      </c>
      <c r="E18" s="430"/>
      <c r="F18" s="430"/>
      <c r="G18" s="99">
        <v>6</v>
      </c>
      <c r="H18" s="241" t="str">
        <f>VLOOKUP(C18,'Sales Master'!B$3:F$936,5,0)</f>
        <v>Box/盒</v>
      </c>
      <c r="I18" s="432" t="str">
        <f>VLOOKUP(C18,'Sales Master'!B$3:E$936,4,0)</f>
        <v>DO!</v>
      </c>
      <c r="J18" s="432"/>
      <c r="K18" s="96">
        <f>VLOOKUP(C18,'Sales Master'!$B$3:$EC$3106,132,0)</f>
        <v>10</v>
      </c>
      <c r="L18" s="23">
        <f>K18*G18</f>
        <v>60</v>
      </c>
      <c r="N18" s="247">
        <f>VLOOKUP(C18,'Sales Master'!$B$3:$FA$3051,156,0)</f>
        <v>4.68</v>
      </c>
      <c r="O18" s="247">
        <f>K18-N18</f>
        <v>5.32</v>
      </c>
      <c r="P18" s="247">
        <f>O18*G18</f>
        <v>31.92</v>
      </c>
    </row>
    <row r="19" spans="2:16" ht="20.149999999999999" customHeight="1" x14ac:dyDescent="0.45">
      <c r="B19" s="21"/>
      <c r="C19" s="45" t="s">
        <v>821</v>
      </c>
      <c r="D19" s="430" t="str">
        <f>VLOOKUP(C19,'Sales Master'!B$3:D$316,2,0)</f>
        <v>Mango Puree 芒果浆</v>
      </c>
      <c r="E19" s="430"/>
      <c r="F19" s="430"/>
      <c r="G19" s="99">
        <v>6</v>
      </c>
      <c r="H19" s="241" t="str">
        <f>VLOOKUP(C19,'Sales Master'!B$3:F$936,5,0)</f>
        <v>Box/盒</v>
      </c>
      <c r="I19" s="432" t="str">
        <f>VLOOKUP(C19,'Sales Master'!B$3:E$936,4,0)</f>
        <v>DO!</v>
      </c>
      <c r="J19" s="432"/>
      <c r="K19" s="96">
        <f>VLOOKUP(C19,'Sales Master'!$B$3:$EC$3106,132,0)</f>
        <v>8</v>
      </c>
      <c r="L19" s="23">
        <f>K19*G19</f>
        <v>48</v>
      </c>
      <c r="N19" s="247">
        <f>VLOOKUP(C19,'Sales Master'!$B$3:$FA$3051,156,0)</f>
        <v>2.15</v>
      </c>
      <c r="O19" s="247">
        <f>K19-N19</f>
        <v>5.85</v>
      </c>
      <c r="P19" s="247">
        <f>O19*G19</f>
        <v>35.099999999999994</v>
      </c>
    </row>
    <row r="20" spans="2:16" ht="20.149999999999999" customHeight="1" x14ac:dyDescent="0.45">
      <c r="B20" s="21"/>
      <c r="C20" s="45"/>
      <c r="D20" s="430"/>
      <c r="E20" s="430"/>
      <c r="F20" s="430"/>
      <c r="G20" s="99"/>
      <c r="H20" s="241"/>
      <c r="I20" s="432"/>
      <c r="J20" s="432"/>
      <c r="K20" s="96"/>
      <c r="L20" s="23"/>
      <c r="N20" s="247"/>
      <c r="O20" s="247"/>
      <c r="P20" s="247"/>
    </row>
    <row r="21" spans="2:16" ht="20.149999999999999" customHeight="1" x14ac:dyDescent="0.45">
      <c r="B21" s="21"/>
      <c r="C21" s="45"/>
      <c r="D21" s="430"/>
      <c r="E21" s="430"/>
      <c r="F21" s="430"/>
      <c r="G21" s="99"/>
      <c r="H21" s="65"/>
      <c r="I21" s="431"/>
      <c r="J21" s="431"/>
      <c r="K21" s="96"/>
      <c r="L21" s="23"/>
    </row>
    <row r="22" spans="2:16" ht="20.149999999999999" customHeight="1" x14ac:dyDescent="0.45">
      <c r="B22" s="21"/>
      <c r="C22" s="45"/>
      <c r="D22" s="430"/>
      <c r="E22" s="430"/>
      <c r="F22" s="430"/>
      <c r="G22" s="99"/>
      <c r="H22" s="65"/>
      <c r="I22" s="431"/>
      <c r="J22" s="431"/>
      <c r="K22" s="96"/>
      <c r="L22" s="23"/>
    </row>
    <row r="23" spans="2:16" ht="20.149999999999999" customHeight="1" x14ac:dyDescent="0.45">
      <c r="B23" s="21"/>
      <c r="C23" s="305" t="s">
        <v>1503</v>
      </c>
      <c r="D23" s="260"/>
      <c r="E23" s="260"/>
      <c r="F23" s="260"/>
      <c r="G23" s="99"/>
      <c r="H23" s="65"/>
      <c r="I23" s="431"/>
      <c r="J23" s="431"/>
      <c r="K23" s="96"/>
      <c r="L23" s="23"/>
    </row>
    <row r="24" spans="2:16" ht="20.149999999999999" customHeight="1" x14ac:dyDescent="0.45">
      <c r="B24" s="21"/>
      <c r="C24" s="45" t="s">
        <v>822</v>
      </c>
      <c r="D24" s="430" t="str">
        <f>VLOOKUP(C24,'Sales Master'!B$3:D$316,2,0)</f>
        <v>Strawberry Puree 草莓</v>
      </c>
      <c r="E24" s="430"/>
      <c r="F24" s="430"/>
      <c r="G24" s="99">
        <v>1</v>
      </c>
      <c r="H24" s="241" t="str">
        <f>VLOOKUP(C24,'Sales Master'!B$3:F$936,5,0)</f>
        <v>Box/盒</v>
      </c>
      <c r="I24" s="432" t="str">
        <f>VLOOKUP(C24,'Sales Master'!B$3:E$936,4,0)</f>
        <v>DO!</v>
      </c>
      <c r="J24" s="432"/>
      <c r="K24" s="96">
        <v>10</v>
      </c>
      <c r="L24" s="23"/>
    </row>
    <row r="25" spans="2:16" ht="20.149999999999999" customHeight="1" x14ac:dyDescent="0.45">
      <c r="B25" s="21"/>
      <c r="C25" s="45" t="s">
        <v>821</v>
      </c>
      <c r="D25" s="430" t="str">
        <f>VLOOKUP(C25,'Sales Master'!B$3:D$316,2,0)</f>
        <v>Mango Puree 芒果浆</v>
      </c>
      <c r="E25" s="430"/>
      <c r="F25" s="430"/>
      <c r="G25" s="99">
        <v>1</v>
      </c>
      <c r="H25" s="241" t="str">
        <f>VLOOKUP(C25,'Sales Master'!B$3:F$936,5,0)</f>
        <v>Box/盒</v>
      </c>
      <c r="I25" s="432" t="str">
        <f>VLOOKUP(C25,'Sales Master'!B$3:E$936,4,0)</f>
        <v>DO!</v>
      </c>
      <c r="J25" s="432"/>
      <c r="K25" s="96">
        <v>8</v>
      </c>
      <c r="L25" s="23"/>
    </row>
    <row r="26" spans="2:16" ht="20.149999999999999" customHeight="1" x14ac:dyDescent="0.45">
      <c r="B26" s="90"/>
      <c r="C26" s="91"/>
      <c r="D26" s="186"/>
      <c r="E26" s="186"/>
      <c r="F26" s="186"/>
      <c r="G26" s="133"/>
      <c r="H26" s="123"/>
      <c r="I26" s="123"/>
      <c r="J26" s="123"/>
      <c r="K26" s="92"/>
      <c r="L26" s="93"/>
    </row>
    <row r="27" spans="2:16" ht="20.149999999999999" customHeight="1" thickBot="1" x14ac:dyDescent="0.5">
      <c r="B27" s="28"/>
      <c r="L27" s="29"/>
    </row>
    <row r="28" spans="2:16" ht="20.149999999999999" customHeight="1" x14ac:dyDescent="0.45">
      <c r="B28" s="11" t="s">
        <v>334</v>
      </c>
      <c r="C28" s="10"/>
      <c r="D28" s="10"/>
      <c r="E28" s="10"/>
      <c r="F28" s="10"/>
      <c r="G28" s="10"/>
      <c r="H28" s="10"/>
      <c r="I28" s="10"/>
      <c r="J28" s="474" t="s">
        <v>13</v>
      </c>
      <c r="K28" s="475"/>
      <c r="L28" s="30">
        <f>SUM(L18:L27)</f>
        <v>108</v>
      </c>
      <c r="M28" s="95">
        <f>SUM(P18:P26)-L28*0.02</f>
        <v>64.86</v>
      </c>
      <c r="N28" s="248">
        <f>M28/L28</f>
        <v>0.60055555555555551</v>
      </c>
    </row>
    <row r="29" spans="2:16" ht="20.149999999999999" customHeight="1" x14ac:dyDescent="0.45">
      <c r="B29" s="11" t="s">
        <v>17</v>
      </c>
      <c r="C29" s="10"/>
      <c r="D29" s="10"/>
      <c r="E29" s="10"/>
      <c r="F29" s="10"/>
      <c r="G29" s="10"/>
      <c r="H29" s="10"/>
      <c r="I29" s="10"/>
      <c r="J29" s="110" t="s">
        <v>553</v>
      </c>
      <c r="K29" s="113">
        <v>6.54E-2</v>
      </c>
      <c r="L29" s="32">
        <f>L31</f>
        <v>8</v>
      </c>
    </row>
    <row r="30" spans="2:16" ht="20.149999999999999" customHeight="1" x14ac:dyDescent="0.45">
      <c r="B30" s="11" t="s">
        <v>18</v>
      </c>
      <c r="C30" s="10"/>
      <c r="D30" s="10"/>
      <c r="E30" s="10"/>
      <c r="F30" s="10"/>
      <c r="G30" s="10"/>
      <c r="H30" s="10"/>
      <c r="I30" s="10"/>
      <c r="J30" s="476" t="s">
        <v>555</v>
      </c>
      <c r="K30" s="477"/>
      <c r="L30" s="114">
        <f>L28/108*100</f>
        <v>100</v>
      </c>
      <c r="O30" s="60">
        <v>114</v>
      </c>
      <c r="P30" s="60">
        <v>114</v>
      </c>
    </row>
    <row r="31" spans="2:16" ht="20.149999999999999" customHeight="1" x14ac:dyDescent="0.45">
      <c r="B31" s="11" t="s">
        <v>22</v>
      </c>
      <c r="C31" s="10"/>
      <c r="D31" s="10"/>
      <c r="E31" s="10"/>
      <c r="F31" s="10"/>
      <c r="G31" s="10"/>
      <c r="H31" s="10"/>
      <c r="I31" s="10"/>
      <c r="J31" s="111" t="s">
        <v>554</v>
      </c>
      <c r="K31" s="112">
        <v>0.08</v>
      </c>
      <c r="L31" s="44">
        <f>L30*K31</f>
        <v>8</v>
      </c>
      <c r="O31" s="60">
        <f>O30/107*100</f>
        <v>106.54205607476635</v>
      </c>
      <c r="P31" s="60">
        <f>P30/108*100</f>
        <v>105.55555555555556</v>
      </c>
    </row>
    <row r="32" spans="2:16" ht="20.149999999999999" customHeight="1" thickBot="1" x14ac:dyDescent="0.5">
      <c r="B32" s="11" t="s">
        <v>748</v>
      </c>
      <c r="C32" s="10"/>
      <c r="D32" s="10"/>
      <c r="E32" s="10"/>
      <c r="F32" s="10"/>
      <c r="G32" s="10"/>
      <c r="H32" s="10"/>
      <c r="I32" s="10"/>
      <c r="J32" s="478" t="s">
        <v>21</v>
      </c>
      <c r="K32" s="479"/>
      <c r="L32" s="33">
        <f>L30+L31</f>
        <v>108</v>
      </c>
      <c r="O32" s="60">
        <f>O31*0.07</f>
        <v>7.4579439252336455</v>
      </c>
      <c r="P32" s="60">
        <f>P31*0.08</f>
        <v>8.4444444444444446</v>
      </c>
    </row>
    <row r="33" spans="2:16" ht="20.149999999999999" customHeight="1" x14ac:dyDescent="0.45">
      <c r="B33" s="11" t="s">
        <v>23</v>
      </c>
      <c r="C33" s="10"/>
      <c r="D33" s="10"/>
      <c r="E33" s="10"/>
      <c r="F33" s="10"/>
      <c r="G33" s="10"/>
      <c r="H33" s="10"/>
      <c r="I33" s="10"/>
      <c r="L33" s="29"/>
      <c r="O33" s="60">
        <f>O30-O32</f>
        <v>106.54205607476635</v>
      </c>
      <c r="P33" s="60">
        <f>P30-P32</f>
        <v>105.55555555555556</v>
      </c>
    </row>
    <row r="34" spans="2:16" ht="20.149999999999999" customHeight="1" x14ac:dyDescent="0.45">
      <c r="B34" s="183" t="s">
        <v>749</v>
      </c>
      <c r="L34" s="29"/>
    </row>
    <row r="35" spans="2:16" ht="20.149999999999999" customHeight="1" x14ac:dyDescent="0.45">
      <c r="B35" s="28"/>
      <c r="L35" s="29"/>
    </row>
    <row r="36" spans="2:16" ht="20.149999999999999" customHeight="1" x14ac:dyDescent="0.45">
      <c r="B36" s="34"/>
      <c r="C36" s="35"/>
      <c r="D36" s="35"/>
      <c r="J36" s="35"/>
      <c r="K36" s="35"/>
      <c r="L36" s="36"/>
    </row>
    <row r="37" spans="2:16" ht="20.149999999999999" customHeight="1" x14ac:dyDescent="0.45">
      <c r="B37" s="28" t="s">
        <v>24</v>
      </c>
      <c r="J37" s="60" t="s">
        <v>25</v>
      </c>
      <c r="L37" s="29"/>
    </row>
    <row r="38" spans="2:16" ht="19" thickBot="1" x14ac:dyDescent="0.5">
      <c r="B38" s="37"/>
      <c r="C38" s="62"/>
      <c r="D38" s="62"/>
      <c r="E38" s="62"/>
      <c r="F38" s="62"/>
      <c r="G38" s="62"/>
      <c r="H38" s="62"/>
      <c r="I38" s="62"/>
      <c r="J38" s="62"/>
      <c r="K38" s="62"/>
      <c r="L38" s="38"/>
    </row>
  </sheetData>
  <mergeCells count="31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D18:F18"/>
    <mergeCell ref="I18:J18"/>
    <mergeCell ref="K14:L14"/>
    <mergeCell ref="K15:L15"/>
    <mergeCell ref="D17:F17"/>
    <mergeCell ref="I17:J17"/>
    <mergeCell ref="D19:F19"/>
    <mergeCell ref="I19:J19"/>
    <mergeCell ref="D20:F20"/>
    <mergeCell ref="I20:J20"/>
    <mergeCell ref="D21:F21"/>
    <mergeCell ref="I21:J21"/>
    <mergeCell ref="J28:K28"/>
    <mergeCell ref="J30:K30"/>
    <mergeCell ref="J32:K32"/>
    <mergeCell ref="D22:F22"/>
    <mergeCell ref="I22:J22"/>
    <mergeCell ref="I23:J23"/>
    <mergeCell ref="D24:F24"/>
    <mergeCell ref="I24:J24"/>
    <mergeCell ref="D25:F25"/>
    <mergeCell ref="I25:J25"/>
  </mergeCells>
  <conditionalFormatting sqref="C23">
    <cfRule type="duplicateValues" dxfId="142" priority="1"/>
  </conditionalFormatting>
  <printOptions horizontalCentered="1"/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8497B-0DFB-4B6A-8210-3F16391F91EA}">
  <sheetPr codeName="Sheet104">
    <tabColor rgb="FF92D050"/>
    <pageSetUpPr fitToPage="1"/>
  </sheetPr>
  <dimension ref="B1:P43"/>
  <sheetViews>
    <sheetView topLeftCell="A7" zoomScaleNormal="100" workbookViewId="0">
      <selection activeCell="H40" sqref="H40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463</v>
      </c>
      <c r="J10" s="17" t="s">
        <v>26</v>
      </c>
      <c r="K10" s="455">
        <v>202302089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TEL: 96254282                                        Blk 724 Ang Mo Kio Central 2 Food Centre   #01-07 Singapore 560724</v>
      </c>
      <c r="G11" s="445"/>
      <c r="H11" s="446"/>
      <c r="J11" s="18" t="s">
        <v>9</v>
      </c>
      <c r="K11" s="460">
        <v>44961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1028</v>
      </c>
      <c r="D18" s="430" t="str">
        <f>VLOOKUP(C18,'Sales Master'!B$3:D$316,2,0)</f>
        <v>Longan in Syrup 龙眼</v>
      </c>
      <c r="E18" s="430"/>
      <c r="F18" s="430"/>
      <c r="G18" s="45">
        <v>1</v>
      </c>
      <c r="H18" s="65" t="str">
        <f>VLOOKUP(C18,'Sales Master'!B$3:F$936,5,0)</f>
        <v>(565gm x 12)/箱</v>
      </c>
      <c r="I18" s="431" t="str">
        <f>VLOOKUP(C18,'Sales Master'!B$3:E$936,4,0)</f>
        <v>Royal Orchid</v>
      </c>
      <c r="J18" s="431"/>
      <c r="K18" s="22">
        <f>VLOOKUP(C18,'Sales Master'!B$3:AN$527,39,0)</f>
        <v>0</v>
      </c>
      <c r="L18" s="71">
        <f>K18*G18</f>
        <v>0</v>
      </c>
      <c r="N18" s="247">
        <f>VLOOKUP(C18,'Sales Master'!$B$3:$FA$3051,156,0)</f>
        <v>18</v>
      </c>
      <c r="O18" s="247">
        <f>K18-N18</f>
        <v>-18</v>
      </c>
      <c r="P18" s="247">
        <f>O18*G18</f>
        <v>-18</v>
      </c>
    </row>
    <row r="19" spans="2:16" ht="20.149999999999999" customHeight="1" x14ac:dyDescent="0.45">
      <c r="B19" s="21"/>
      <c r="C19" s="45" t="s">
        <v>1032</v>
      </c>
      <c r="D19" s="430" t="str">
        <f>VLOOKUP(C19,'Sales Master'!B$3:D$316,2,0)</f>
        <v>Lychee in Syrup 荔枝</v>
      </c>
      <c r="E19" s="430"/>
      <c r="F19" s="430"/>
      <c r="G19" s="45">
        <v>1</v>
      </c>
      <c r="H19" s="65" t="str">
        <f>VLOOKUP(C19,'Sales Master'!B$3:F$936,5,0)</f>
        <v>12can/箱</v>
      </c>
      <c r="I19" s="431" t="str">
        <f>VLOOKUP(C19,'Sales Master'!B$3:E$936,4,0)</f>
        <v>MiLi</v>
      </c>
      <c r="J19" s="431"/>
      <c r="K19" s="22">
        <f>VLOOKUP(C19,'Sales Master'!B$3:AN$527,39,0)</f>
        <v>26</v>
      </c>
      <c r="L19" s="71">
        <f>K19*G19</f>
        <v>26</v>
      </c>
      <c r="N19" s="247">
        <f>VLOOKUP(C19,'Sales Master'!$B$3:$FA$3051,156,0)</f>
        <v>20</v>
      </c>
      <c r="O19" s="247">
        <f>K19-N19</f>
        <v>6</v>
      </c>
      <c r="P19" s="247">
        <f>O19*G19</f>
        <v>6</v>
      </c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6" ht="20.149999999999999" customHeight="1" x14ac:dyDescent="0.45">
      <c r="B21" s="70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6" ht="20.149999999999999" customHeight="1" x14ac:dyDescent="0.45">
      <c r="B22" s="70"/>
      <c r="C22" s="12" t="s">
        <v>1236</v>
      </c>
      <c r="D22" s="430"/>
      <c r="E22" s="430"/>
      <c r="F22" s="430"/>
      <c r="G22" s="45"/>
      <c r="H22" s="65"/>
      <c r="I22" s="431"/>
      <c r="J22" s="431"/>
      <c r="K22" s="22"/>
      <c r="L22" s="71"/>
    </row>
    <row r="23" spans="2:16" ht="20.149999999999999" customHeight="1" x14ac:dyDescent="0.45">
      <c r="B23" s="70"/>
      <c r="C23" s="69" t="s">
        <v>1318</v>
      </c>
      <c r="G23" s="45"/>
      <c r="H23" s="65"/>
      <c r="I23" s="206"/>
      <c r="J23" s="206"/>
      <c r="K23" s="22"/>
      <c r="L23" s="71"/>
    </row>
    <row r="24" spans="2:16" ht="20.149999999999999" customHeight="1" x14ac:dyDescent="0.45">
      <c r="B24" s="70"/>
      <c r="C24" s="69" t="s">
        <v>1317</v>
      </c>
      <c r="D24" s="69"/>
      <c r="E24" s="69"/>
      <c r="F24" s="69"/>
      <c r="G24" s="45"/>
      <c r="H24" s="65"/>
      <c r="I24" s="206"/>
      <c r="J24" s="206"/>
      <c r="K24" s="22"/>
      <c r="L24" s="71"/>
    </row>
    <row r="25" spans="2:16" ht="20.149999999999999" customHeight="1" x14ac:dyDescent="0.45">
      <c r="B25" s="70"/>
      <c r="C25" s="69"/>
      <c r="D25" s="69"/>
      <c r="E25" s="69"/>
      <c r="F25" s="69"/>
      <c r="G25" s="45"/>
      <c r="H25" s="65"/>
      <c r="I25" s="206"/>
      <c r="J25" s="206"/>
      <c r="K25" s="22"/>
      <c r="L25" s="71"/>
    </row>
    <row r="26" spans="2:16" ht="20.149999999999999" customHeight="1" x14ac:dyDescent="0.45">
      <c r="B26" s="70"/>
      <c r="C26" s="69"/>
      <c r="D26" s="69"/>
      <c r="E26" s="69"/>
      <c r="F26" s="69"/>
      <c r="G26" s="45"/>
      <c r="H26" s="65"/>
      <c r="I26" s="206"/>
      <c r="J26" s="206"/>
      <c r="K26" s="22"/>
      <c r="L26" s="71"/>
    </row>
    <row r="27" spans="2:16" ht="20.149999999999999" customHeight="1" x14ac:dyDescent="0.45">
      <c r="B27" s="21"/>
      <c r="C27" s="305" t="s">
        <v>1458</v>
      </c>
      <c r="E27" s="69"/>
      <c r="F27" s="69"/>
      <c r="G27" s="99"/>
      <c r="H27" s="65"/>
      <c r="I27" s="65"/>
      <c r="J27" s="65"/>
      <c r="K27" s="22"/>
      <c r="L27" s="23"/>
    </row>
    <row r="28" spans="2:16" ht="20.149999999999999" customHeight="1" x14ac:dyDescent="0.45">
      <c r="B28" s="21"/>
      <c r="C28" s="45" t="s">
        <v>1080</v>
      </c>
      <c r="D28" s="430" t="str">
        <f>VLOOKUP(C28,'Sales Master'!B$3:D$643,2,0)</f>
        <v>Fine Sugar 白糖</v>
      </c>
      <c r="E28" s="430"/>
      <c r="F28" s="430"/>
      <c r="G28" s="99">
        <v>1</v>
      </c>
      <c r="H28" s="241" t="str">
        <f>VLOOKUP(C28,'Sales Master'!B$3:F$936,5,0)</f>
        <v>25 KGS</v>
      </c>
      <c r="I28" s="432" t="str">
        <f>VLOOKUP(C28,'Sales Master'!B$3:E$936,4,0)</f>
        <v>MITR PHOL</v>
      </c>
      <c r="J28" s="432"/>
      <c r="K28" s="22">
        <v>30.5</v>
      </c>
      <c r="L28" s="23"/>
    </row>
    <row r="29" spans="2:16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16" ht="20.149999999999999" customHeight="1" thickBot="1" x14ac:dyDescent="0.5">
      <c r="B30" s="28"/>
      <c r="L30" s="29"/>
    </row>
    <row r="31" spans="2:16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SUM(L18:L30)</f>
        <v>26</v>
      </c>
      <c r="M31" s="95">
        <f>SUM(P9:P29)-L31*0.02</f>
        <v>-12.52</v>
      </c>
    </row>
    <row r="32" spans="2:16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L34</f>
        <v>1.7009345794392525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L31/107*100</f>
        <v>24.299065420560748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7.0000000000000007E-2</v>
      </c>
      <c r="L34" s="44">
        <f>L33*K34</f>
        <v>1.7009345794392525</v>
      </c>
    </row>
    <row r="35" spans="2:12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26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83" t="s">
        <v>749</v>
      </c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31">
    <mergeCell ref="B1:L8"/>
    <mergeCell ref="D29:F29"/>
    <mergeCell ref="J31:K31"/>
    <mergeCell ref="J33:K33"/>
    <mergeCell ref="J35:K35"/>
    <mergeCell ref="D28:F28"/>
    <mergeCell ref="I28:J28"/>
    <mergeCell ref="D22:F22"/>
    <mergeCell ref="I22:J22"/>
    <mergeCell ref="D19:F19"/>
    <mergeCell ref="I19:J19"/>
    <mergeCell ref="D20:F20"/>
    <mergeCell ref="I20:J20"/>
    <mergeCell ref="D21:F21"/>
    <mergeCell ref="I21:J21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7">
    <cfRule type="duplicateValues" dxfId="16" priority="1"/>
  </conditionalFormatting>
  <conditionalFormatting sqref="C28">
    <cfRule type="duplicateValues" dxfId="15" priority="2"/>
  </conditionalFormatting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4C5AC-4D9E-437E-AE3C-87AB819311CE}">
  <sheetPr codeName="Sheet153">
    <tabColor rgb="FF92D050"/>
    <pageSetUpPr fitToPage="1"/>
  </sheetPr>
  <dimension ref="B1:P45"/>
  <sheetViews>
    <sheetView zoomScale="80" zoomScaleNormal="80" workbookViewId="0">
      <selection activeCell="N6" sqref="N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513</v>
      </c>
      <c r="J10" s="17" t="s">
        <v>26</v>
      </c>
      <c r="K10" s="455">
        <v>202211393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传统甜品                                                   Blk 232, Ang Mo Kio                          #01-1210 Singapore 560232</v>
      </c>
      <c r="G11" s="445"/>
      <c r="H11" s="446"/>
      <c r="J11" s="18" t="s">
        <v>9</v>
      </c>
      <c r="K11" s="460">
        <v>44887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  <c r="N14" s="172" t="s">
        <v>618</v>
      </c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  <c r="N15" s="69" t="s">
        <v>609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70"/>
      <c r="C18" s="45" t="s">
        <v>831</v>
      </c>
      <c r="D18" s="430" t="str">
        <f>VLOOKUP(C18,'Sales Master'!B$3:D$644,2,0)</f>
        <v>Chendol 浆咯</v>
      </c>
      <c r="E18" s="430"/>
      <c r="F18" s="430"/>
      <c r="G18" s="99">
        <v>2</v>
      </c>
      <c r="H18" s="241" t="str">
        <f>VLOOKUP(C18,'Sales Master'!B$3:F$936,5,0)</f>
        <v>NW(2.2:0.8) 3 KGS/ Bag</v>
      </c>
      <c r="I18" s="432" t="str">
        <f>VLOOKUP(C18,'Sales Master'!B$3:E$936,4,0)</f>
        <v>DO!</v>
      </c>
      <c r="J18" s="432"/>
      <c r="K18" s="96">
        <f>VLOOKUP(C18,'Sales Master'!B$3:BS$527,70,0)</f>
        <v>7</v>
      </c>
      <c r="L18" s="98">
        <f>K18*G18</f>
        <v>14</v>
      </c>
      <c r="N18" s="247">
        <f>VLOOKUP(C18,'Sales Master'!$B$3:$FA$3051,156,0)</f>
        <v>2.44</v>
      </c>
      <c r="O18" s="247">
        <f>K18-N18</f>
        <v>4.5600000000000005</v>
      </c>
      <c r="P18" s="247">
        <f>O18*G18</f>
        <v>9.120000000000001</v>
      </c>
    </row>
    <row r="19" spans="2:16" ht="20.149999999999999" customHeight="1" x14ac:dyDescent="0.45">
      <c r="B19" s="70"/>
      <c r="C19" s="45"/>
      <c r="D19" s="430"/>
      <c r="E19" s="430"/>
      <c r="F19" s="430"/>
      <c r="G19" s="99"/>
      <c r="H19" s="241"/>
      <c r="I19" s="432"/>
      <c r="J19" s="432"/>
      <c r="K19" s="96"/>
      <c r="L19" s="98"/>
      <c r="N19" s="247"/>
      <c r="O19" s="247"/>
      <c r="P19" s="247"/>
    </row>
    <row r="20" spans="2:16" ht="20.149999999999999" customHeight="1" x14ac:dyDescent="0.45">
      <c r="B20" s="70"/>
      <c r="C20" s="45"/>
      <c r="D20" s="430"/>
      <c r="E20" s="430"/>
      <c r="F20" s="430"/>
      <c r="G20" s="99"/>
      <c r="H20" s="241"/>
      <c r="I20" s="432"/>
      <c r="J20" s="432"/>
      <c r="K20" s="96"/>
      <c r="L20" s="98"/>
      <c r="N20" s="247"/>
      <c r="O20" s="247"/>
      <c r="P20" s="247"/>
    </row>
    <row r="21" spans="2:16" ht="20.149999999999999" customHeight="1" x14ac:dyDescent="0.45">
      <c r="B21" s="70"/>
      <c r="C21" s="45"/>
      <c r="D21" s="430"/>
      <c r="E21" s="430"/>
      <c r="F21" s="430"/>
      <c r="G21" s="45"/>
      <c r="H21" s="241"/>
      <c r="I21" s="432"/>
      <c r="J21" s="432"/>
      <c r="K21" s="96"/>
      <c r="L21" s="98"/>
      <c r="N21" s="247"/>
      <c r="O21" s="247"/>
      <c r="P21" s="247"/>
    </row>
    <row r="22" spans="2:16" ht="20.149999999999999" customHeight="1" x14ac:dyDescent="0.45">
      <c r="B22" s="70"/>
      <c r="C22" s="45"/>
      <c r="D22" s="430"/>
      <c r="E22" s="430"/>
      <c r="F22" s="430"/>
      <c r="G22" s="45"/>
      <c r="H22" s="241"/>
      <c r="I22" s="432"/>
      <c r="J22" s="432"/>
      <c r="K22" s="96"/>
      <c r="L22" s="98"/>
      <c r="N22" s="247"/>
      <c r="O22" s="247"/>
      <c r="P22" s="247"/>
    </row>
    <row r="23" spans="2:16" ht="20.149999999999999" customHeight="1" x14ac:dyDescent="0.45">
      <c r="B23" s="70"/>
      <c r="C23" s="45"/>
      <c r="D23" s="430"/>
      <c r="E23" s="430"/>
      <c r="F23" s="430"/>
      <c r="G23" s="45"/>
      <c r="H23" s="241"/>
      <c r="I23" s="432"/>
      <c r="J23" s="432"/>
      <c r="K23" s="96"/>
      <c r="L23" s="98"/>
      <c r="N23" s="247"/>
      <c r="O23" s="247"/>
      <c r="P23" s="247"/>
    </row>
    <row r="24" spans="2:16" ht="20.149999999999999" customHeight="1" x14ac:dyDescent="0.45">
      <c r="B24" s="70"/>
      <c r="C24" s="45"/>
      <c r="D24" s="430"/>
      <c r="E24" s="430"/>
      <c r="F24" s="430"/>
      <c r="G24" s="45"/>
      <c r="H24" s="241"/>
      <c r="I24" s="432"/>
      <c r="J24" s="432"/>
      <c r="K24" s="96"/>
      <c r="L24" s="98"/>
      <c r="N24" s="247"/>
      <c r="O24" s="247"/>
      <c r="P24" s="247"/>
    </row>
    <row r="25" spans="2:16" ht="20.149999999999999" customHeight="1" x14ac:dyDescent="0.45">
      <c r="B25" s="70"/>
      <c r="C25" s="45"/>
      <c r="D25" s="430"/>
      <c r="E25" s="430"/>
      <c r="F25" s="430"/>
      <c r="G25" s="45"/>
      <c r="H25" s="241"/>
      <c r="I25" s="432"/>
      <c r="J25" s="432"/>
      <c r="K25" s="96"/>
      <c r="L25" s="98"/>
      <c r="N25" s="247"/>
      <c r="O25" s="247"/>
      <c r="P25" s="247"/>
    </row>
    <row r="26" spans="2:16" ht="20.149999999999999" customHeight="1" x14ac:dyDescent="0.45">
      <c r="B26" s="70"/>
      <c r="C26" s="45"/>
      <c r="D26" s="430"/>
      <c r="E26" s="430"/>
      <c r="F26" s="430"/>
      <c r="G26" s="45"/>
      <c r="H26" s="241"/>
      <c r="I26" s="432"/>
      <c r="J26" s="432"/>
      <c r="K26" s="96"/>
      <c r="L26" s="98"/>
      <c r="N26" s="247"/>
      <c r="O26" s="247"/>
      <c r="P26" s="247"/>
    </row>
    <row r="27" spans="2:16" ht="20.149999999999999" customHeight="1" x14ac:dyDescent="0.45">
      <c r="B27" s="70"/>
      <c r="C27" s="45"/>
      <c r="D27" s="430"/>
      <c r="E27" s="430"/>
      <c r="F27" s="430"/>
      <c r="G27" s="233"/>
      <c r="H27" s="241"/>
      <c r="I27" s="432"/>
      <c r="J27" s="432"/>
      <c r="K27" s="96"/>
      <c r="L27" s="98"/>
      <c r="N27" s="247"/>
      <c r="O27" s="247"/>
      <c r="P27" s="247"/>
    </row>
    <row r="28" spans="2:16" ht="20.149999999999999" customHeight="1" x14ac:dyDescent="0.45">
      <c r="B28" s="70"/>
      <c r="D28" s="69"/>
      <c r="E28" s="69"/>
      <c r="F28" s="69"/>
      <c r="G28" s="233"/>
      <c r="H28" s="241"/>
      <c r="I28" s="322"/>
      <c r="J28" s="322"/>
      <c r="K28" s="96"/>
      <c r="L28" s="98"/>
      <c r="N28" s="247"/>
      <c r="O28" s="247"/>
      <c r="P28" s="247"/>
    </row>
    <row r="29" spans="2:16" ht="20.149999999999999" customHeight="1" x14ac:dyDescent="0.45">
      <c r="B29" s="70"/>
      <c r="C29" s="305" t="s">
        <v>1441</v>
      </c>
      <c r="E29" s="69"/>
      <c r="F29" s="69"/>
      <c r="G29" s="99"/>
      <c r="H29" s="65"/>
      <c r="I29" s="65"/>
      <c r="J29" s="65"/>
      <c r="K29" s="22"/>
      <c r="L29" s="98"/>
      <c r="N29" s="247"/>
      <c r="O29" s="247"/>
      <c r="P29" s="247"/>
    </row>
    <row r="30" spans="2:16" ht="20.149999999999999" customHeight="1" x14ac:dyDescent="0.45">
      <c r="B30" s="70"/>
      <c r="C30" s="45" t="s">
        <v>1081</v>
      </c>
      <c r="D30" s="430" t="str">
        <f>VLOOKUP(C30,'Sales Master'!B$3:D$643,2,0)</f>
        <v>Fine Sugar 白糖</v>
      </c>
      <c r="E30" s="430"/>
      <c r="F30" s="430"/>
      <c r="G30" s="99">
        <v>1</v>
      </c>
      <c r="H30" s="206" t="str">
        <f>VLOOKUP(C30,'Sales Master'!B$3:F$936,5,0)</f>
        <v>25 KGS</v>
      </c>
      <c r="I30" s="432" t="str">
        <f>VLOOKUP(C30,'Sales Master'!B$3:E$936,4,0)</f>
        <v>SUN</v>
      </c>
      <c r="J30" s="432"/>
      <c r="K30" s="22">
        <v>29.5</v>
      </c>
      <c r="L30" s="98"/>
      <c r="N30" s="247"/>
      <c r="O30" s="247"/>
      <c r="P30" s="247"/>
    </row>
    <row r="31" spans="2:16" ht="20.149999999999999" customHeight="1" x14ac:dyDescent="0.45">
      <c r="B31" s="90"/>
      <c r="C31" s="35"/>
      <c r="D31" s="35"/>
      <c r="E31" s="35"/>
      <c r="F31" s="35"/>
      <c r="G31" s="91"/>
      <c r="H31" s="123"/>
      <c r="I31" s="327"/>
      <c r="J31" s="327"/>
      <c r="K31" s="92"/>
      <c r="L31" s="100"/>
    </row>
    <row r="32" spans="2:16" ht="18.5" customHeight="1" thickBot="1" x14ac:dyDescent="0.5">
      <c r="B32" s="28"/>
      <c r="L32" s="29"/>
    </row>
    <row r="33" spans="2:14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30">
        <f>SUM(L18:L31)</f>
        <v>14</v>
      </c>
      <c r="M33" s="95">
        <f>SUM(P17:P31)-L33*0.02</f>
        <v>8.8400000000000016</v>
      </c>
      <c r="N33" s="248">
        <f>M33/L33</f>
        <v>0.63142857142857156</v>
      </c>
    </row>
    <row r="34" spans="2:14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32">
        <f>L33-L35</f>
        <v>0.91588785046729093</v>
      </c>
    </row>
    <row r="35" spans="2:14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114">
        <f>L33/107*100</f>
        <v>13.084112149532709</v>
      </c>
    </row>
    <row r="36" spans="2:14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7.0000000000000007E-2</v>
      </c>
      <c r="L36" s="44">
        <f>L35*K36</f>
        <v>0.91588785046728971</v>
      </c>
    </row>
    <row r="37" spans="2:14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78" t="s">
        <v>21</v>
      </c>
      <c r="K37" s="479"/>
      <c r="L37" s="33">
        <f>L35+L36</f>
        <v>13.999999999999998</v>
      </c>
    </row>
    <row r="38" spans="2:14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L38" s="29"/>
    </row>
    <row r="39" spans="2:14" ht="20.149999999999999" customHeight="1" x14ac:dyDescent="0.45">
      <c r="B39" s="183" t="s">
        <v>749</v>
      </c>
      <c r="L39" s="29"/>
    </row>
    <row r="40" spans="2:14" ht="20.149999999999999" customHeight="1" x14ac:dyDescent="0.45">
      <c r="B40" s="28"/>
      <c r="L40" s="29"/>
    </row>
    <row r="41" spans="2:14" ht="20.149999999999999" customHeight="1" x14ac:dyDescent="0.45">
      <c r="B41" s="28"/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34"/>
      <c r="C43" s="35"/>
      <c r="D43" s="35"/>
      <c r="J43" s="35"/>
      <c r="K43" s="35"/>
      <c r="L43" s="36"/>
    </row>
    <row r="44" spans="2:14" ht="20.149999999999999" customHeight="1" x14ac:dyDescent="0.45">
      <c r="B44" s="28" t="s">
        <v>24</v>
      </c>
      <c r="J44" s="60" t="s">
        <v>25</v>
      </c>
      <c r="L44" s="29"/>
    </row>
    <row r="45" spans="2:14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40">
    <mergeCell ref="J37:K37"/>
    <mergeCell ref="D27:F27"/>
    <mergeCell ref="I27:J27"/>
    <mergeCell ref="D30:F30"/>
    <mergeCell ref="I30:J30"/>
    <mergeCell ref="J33:K33"/>
    <mergeCell ref="J35:K35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K14:L14"/>
    <mergeCell ref="B15:D15"/>
    <mergeCell ref="K15:L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conditionalFormatting sqref="C27:C28">
    <cfRule type="duplicateValues" dxfId="14" priority="3"/>
  </conditionalFormatting>
  <conditionalFormatting sqref="C29">
    <cfRule type="duplicateValues" dxfId="13" priority="1"/>
  </conditionalFormatting>
  <conditionalFormatting sqref="C30">
    <cfRule type="duplicateValues" dxfId="12" priority="2"/>
  </conditionalFormatting>
  <pageMargins left="0.70866141732283472" right="0.31496062992125984" top="0.51181102362204722" bottom="0" header="0.31496062992125984" footer="0.31496062992125984"/>
  <pageSetup paperSize="9" scale="76" orientation="portrait" horizontalDpi="300" verticalDpi="30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BAA10-D11E-42CB-AE2C-9974A4687E03}">
  <sheetPr codeName="Sheet59">
    <tabColor rgb="FF92D050"/>
    <pageSetUpPr fitToPage="1"/>
  </sheetPr>
  <dimension ref="B1:Q42"/>
  <sheetViews>
    <sheetView topLeftCell="A4" zoomScaleNormal="100" workbookViewId="0">
      <selection activeCell="B1" sqref="B1:L42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5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427</v>
      </c>
      <c r="J10" s="17" t="s">
        <v>26</v>
      </c>
      <c r="K10" s="455" t="s">
        <v>1486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TEL: 93697823                                         Blk 453  Ang Mo Kio Ave 10              #01-35 Singapore 560453</v>
      </c>
      <c r="G11" s="445"/>
      <c r="H11" s="446"/>
      <c r="J11" s="18" t="s">
        <v>9</v>
      </c>
      <c r="K11" s="460">
        <v>44979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7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7" ht="20.149999999999999" customHeight="1" x14ac:dyDescent="0.45">
      <c r="B18" s="21"/>
      <c r="C18" s="45" t="s">
        <v>833</v>
      </c>
      <c r="D18" s="430" t="str">
        <f>VLOOKUP(C18,'Sales Master'!B$3:D$642,2,0)</f>
        <v>Coconut Sugar Syrup 椰糖浆</v>
      </c>
      <c r="E18" s="430"/>
      <c r="F18" s="430"/>
      <c r="G18" s="45">
        <v>1</v>
      </c>
      <c r="H18" s="65" t="str">
        <f>VLOOKUP(C18,'Sales Master'!B$3:F$936,5,0)</f>
        <v>4L/ Btl支</v>
      </c>
      <c r="I18" s="431" t="str">
        <f>VLOOKUP(C18,'Sales Master'!B$3:E$936,4,0)</f>
        <v>DO!</v>
      </c>
      <c r="J18" s="431"/>
      <c r="K18" s="240" t="s">
        <v>1486</v>
      </c>
      <c r="L18" s="71"/>
      <c r="N18" s="247">
        <f>VLOOKUP(C18,'Sales Master'!$B$3:$FA$3051,156,0)</f>
        <v>8.89</v>
      </c>
      <c r="O18" s="247" t="e">
        <f>K18-N18</f>
        <v>#VALUE!</v>
      </c>
      <c r="P18" s="247" t="e">
        <f>O18*G18</f>
        <v>#VALUE!</v>
      </c>
      <c r="Q18" s="95">
        <f>N18*G18*0.07</f>
        <v>0.62230000000000008</v>
      </c>
    </row>
    <row r="19" spans="2:17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7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71"/>
    </row>
    <row r="21" spans="2:17" ht="20.149999999999999" customHeight="1" x14ac:dyDescent="0.45">
      <c r="B21" s="21"/>
      <c r="C21" s="437" t="s">
        <v>1220</v>
      </c>
      <c r="D21" s="437"/>
      <c r="E21" s="437"/>
      <c r="F21" s="437"/>
      <c r="G21" s="437"/>
      <c r="H21" s="241"/>
      <c r="I21" s="241"/>
      <c r="J21" s="241"/>
      <c r="K21" s="22"/>
      <c r="L21" s="71"/>
    </row>
    <row r="22" spans="2:17" ht="20.149999999999999" customHeight="1" x14ac:dyDescent="0.45">
      <c r="B22" s="21"/>
      <c r="C22" s="45" t="s">
        <v>833</v>
      </c>
      <c r="D22" s="430" t="str">
        <f>VLOOKUP(C22,'Sales Master'!B$3:D$642,2,0)</f>
        <v>Coconut Sugar Syrup 椰糖浆</v>
      </c>
      <c r="E22" s="430"/>
      <c r="F22" s="430"/>
      <c r="G22" s="45">
        <v>1</v>
      </c>
      <c r="H22" s="65" t="str">
        <f>VLOOKUP(C22,'Sales Master'!B$3:F$936,5,0)</f>
        <v>4L/ Btl支</v>
      </c>
      <c r="I22" s="431" t="str">
        <f>VLOOKUP(C22,'Sales Master'!B$3:E$936,4,0)</f>
        <v>DO!</v>
      </c>
      <c r="J22" s="431"/>
      <c r="K22" s="22">
        <v>16</v>
      </c>
      <c r="L22" s="71"/>
    </row>
    <row r="23" spans="2:17" ht="20.149999999999999" customHeight="1" x14ac:dyDescent="0.45">
      <c r="B23" s="21"/>
      <c r="C23" s="255"/>
      <c r="D23" s="69"/>
      <c r="E23" s="69"/>
      <c r="F23" s="69"/>
      <c r="G23" s="45"/>
      <c r="H23" s="241"/>
      <c r="I23" s="241"/>
      <c r="J23" s="241"/>
      <c r="K23" s="22"/>
      <c r="L23" s="71"/>
    </row>
    <row r="24" spans="2:17" ht="20.149999999999999" customHeight="1" x14ac:dyDescent="0.45">
      <c r="B24" s="21"/>
      <c r="C24" s="255"/>
      <c r="D24" s="69"/>
      <c r="E24" s="69"/>
      <c r="F24" s="69"/>
      <c r="G24" s="45"/>
      <c r="H24" s="241"/>
      <c r="I24" s="241"/>
      <c r="J24" s="241"/>
      <c r="K24" s="22"/>
      <c r="L24" s="71"/>
    </row>
    <row r="25" spans="2:17" ht="20.149999999999999" customHeight="1" x14ac:dyDescent="0.45">
      <c r="B25" s="21"/>
      <c r="C25" s="255"/>
      <c r="D25" s="69"/>
      <c r="E25" s="69"/>
      <c r="F25" s="69"/>
      <c r="G25" s="45"/>
      <c r="H25" s="241"/>
      <c r="I25" s="241"/>
      <c r="J25" s="241"/>
      <c r="K25" s="22"/>
      <c r="L25" s="71"/>
    </row>
    <row r="26" spans="2:17" ht="20.149999999999999" customHeight="1" x14ac:dyDescent="0.45">
      <c r="B26" s="70"/>
      <c r="C26" s="45"/>
      <c r="D26" s="69"/>
      <c r="E26" s="69"/>
      <c r="F26" s="69"/>
      <c r="G26" s="94"/>
      <c r="H26" s="241"/>
      <c r="I26" s="241"/>
      <c r="J26" s="241"/>
      <c r="K26" s="22"/>
      <c r="L26" s="71"/>
    </row>
    <row r="27" spans="2:17" ht="20.149999999999999" customHeight="1" x14ac:dyDescent="0.45">
      <c r="B27" s="70"/>
      <c r="C27" s="45"/>
      <c r="D27" s="69"/>
      <c r="E27" s="69"/>
      <c r="F27" s="69"/>
      <c r="G27" s="94"/>
      <c r="H27" s="241"/>
      <c r="I27" s="241"/>
      <c r="J27" s="241"/>
      <c r="K27" s="22"/>
      <c r="L27" s="71"/>
    </row>
    <row r="28" spans="2:17" ht="20.149999999999999" customHeight="1" thickBot="1" x14ac:dyDescent="0.5">
      <c r="B28" s="24"/>
      <c r="C28" s="25"/>
      <c r="D28" s="473"/>
      <c r="E28" s="473"/>
      <c r="F28" s="473"/>
      <c r="G28" s="25"/>
      <c r="H28" s="66"/>
      <c r="I28" s="66"/>
      <c r="J28" s="66"/>
      <c r="K28" s="26"/>
      <c r="L28" s="27"/>
    </row>
    <row r="29" spans="2:17" ht="20.149999999999999" customHeight="1" thickBot="1" x14ac:dyDescent="0.5">
      <c r="B29" s="28"/>
      <c r="L29" s="29"/>
    </row>
    <row r="30" spans="2:17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474" t="s">
        <v>13</v>
      </c>
      <c r="K30" s="475"/>
      <c r="L30" s="30">
        <f>SUM(L17:L29)</f>
        <v>0</v>
      </c>
      <c r="M30" s="95" t="e">
        <f>SUM(P10:P28)-L30*0.02</f>
        <v>#VALUE!</v>
      </c>
      <c r="N30" s="60" t="e">
        <f>M30/L30</f>
        <v>#VALUE!</v>
      </c>
    </row>
    <row r="31" spans="2:17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0" t="s">
        <v>553</v>
      </c>
      <c r="K31" s="113">
        <v>6.54E-2</v>
      </c>
      <c r="L31" s="32">
        <f>L33</f>
        <v>0</v>
      </c>
    </row>
    <row r="32" spans="2:17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476" t="s">
        <v>555</v>
      </c>
      <c r="K32" s="477"/>
      <c r="L32" s="114">
        <f>L30/108*100</f>
        <v>0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1" t="s">
        <v>554</v>
      </c>
      <c r="K33" s="112">
        <v>0.08</v>
      </c>
      <c r="L33" s="44">
        <f>L32*K33</f>
        <v>0</v>
      </c>
    </row>
    <row r="34" spans="2:12" ht="20.149999999999999" customHeight="1" thickBot="1" x14ac:dyDescent="0.5">
      <c r="B34" s="11" t="s">
        <v>748</v>
      </c>
      <c r="C34" s="10"/>
      <c r="D34" s="10"/>
      <c r="E34" s="10"/>
      <c r="F34" s="10"/>
      <c r="G34" s="10"/>
      <c r="H34" s="10"/>
      <c r="I34" s="10"/>
      <c r="J34" s="478" t="s">
        <v>21</v>
      </c>
      <c r="K34" s="479"/>
      <c r="L34" s="33">
        <f>L32+L33</f>
        <v>0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83" t="s">
        <v>749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28">
    <mergeCell ref="J30:K30"/>
    <mergeCell ref="J32:K32"/>
    <mergeCell ref="J34:K34"/>
    <mergeCell ref="D28:F28"/>
    <mergeCell ref="D17:F17"/>
    <mergeCell ref="I17:J17"/>
    <mergeCell ref="D18:F18"/>
    <mergeCell ref="I18:J18"/>
    <mergeCell ref="D19:F19"/>
    <mergeCell ref="I19:J19"/>
    <mergeCell ref="D20:F20"/>
    <mergeCell ref="I20:J20"/>
    <mergeCell ref="C21:G21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6" fitToHeight="0" orientation="portrait" horizontalDpi="300" verticalDpi="3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81D8F-6FCB-434D-A0C4-469138989A02}">
  <sheetPr codeName="Sheet103">
    <tabColor rgb="FFFFFF00"/>
    <pageSetUpPr fitToPage="1"/>
  </sheetPr>
  <dimension ref="B1:V58"/>
  <sheetViews>
    <sheetView topLeftCell="A12" zoomScaleNormal="100" workbookViewId="0">
      <selection activeCell="K19" sqref="K19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9.2695312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2" width="13.08984375" style="60" customWidth="1"/>
    <col min="13" max="13" width="12.81640625" style="60" bestFit="1" customWidth="1"/>
    <col min="14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422</v>
      </c>
      <c r="J10" s="17" t="s">
        <v>26</v>
      </c>
      <c r="K10" s="455">
        <v>202310572</v>
      </c>
      <c r="L10" s="456"/>
    </row>
    <row r="11" spans="2:12" ht="20.149999999999999" customHeight="1" x14ac:dyDescent="0.45">
      <c r="B11" s="480" t="s">
        <v>1373</v>
      </c>
      <c r="C11" s="481"/>
      <c r="D11" s="482"/>
      <c r="E11" s="61"/>
      <c r="F11" s="444" t="str">
        <f>VLOOKUP(H10,'Delivery Location'!A$4:N$423,2,0)</f>
        <v>好运                                                          Blk 15 Woodlands Loop, #03-24 Singapore 738322</v>
      </c>
      <c r="G11" s="445"/>
      <c r="H11" s="446"/>
      <c r="J11" s="18" t="s">
        <v>9</v>
      </c>
      <c r="K11" s="460">
        <v>45223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544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22" ht="20.149999999999999" customHeight="1" x14ac:dyDescent="0.45">
      <c r="B18" s="21"/>
      <c r="C18" s="338" t="s">
        <v>923</v>
      </c>
      <c r="D18" s="430" t="str">
        <f>VLOOKUP(C18,'Sales Master'!B$3:D$644,2,0)</f>
        <v>Small Red Bean 小红豆</v>
      </c>
      <c r="E18" s="430"/>
      <c r="F18" s="430"/>
      <c r="G18" s="45">
        <v>1</v>
      </c>
      <c r="H18" s="416" t="str">
        <f>VLOOKUP(C18,'Sales Master'!B$3:F$936,5,0)</f>
        <v>25 kgs</v>
      </c>
      <c r="I18" s="432" t="str">
        <f>VLOOKUP(C18,'Sales Master'!B$3:E$936,4,0)</f>
        <v>-</v>
      </c>
      <c r="J18" s="432"/>
      <c r="K18" s="184">
        <v>85</v>
      </c>
      <c r="L18" s="23">
        <f t="shared" ref="L18" si="0">K18*G18</f>
        <v>85</v>
      </c>
      <c r="N18" s="247">
        <f>VLOOKUP(C18,'Sales Master'!$B$3:$FA$3051,156,0)</f>
        <v>68.849999999999994</v>
      </c>
      <c r="O18" s="247">
        <f t="shared" ref="O18" si="1">K18-N18</f>
        <v>16.150000000000006</v>
      </c>
      <c r="P18" s="247">
        <f t="shared" ref="P18" si="2">O18*G18</f>
        <v>16.150000000000006</v>
      </c>
      <c r="S18" s="60" t="s">
        <v>33</v>
      </c>
      <c r="T18" s="60" t="s">
        <v>31</v>
      </c>
      <c r="V18" s="60">
        <v>6</v>
      </c>
    </row>
    <row r="19" spans="2:22" ht="20.149999999999999" customHeight="1" x14ac:dyDescent="0.45">
      <c r="B19" s="21"/>
      <c r="C19" s="338" t="s">
        <v>1041</v>
      </c>
      <c r="D19" s="430" t="str">
        <f>VLOOKUP(C19,'Sales Master'!B$3:D$644,2,0)</f>
        <v>Canned Red Bean 罐头红豆</v>
      </c>
      <c r="E19" s="430"/>
      <c r="F19" s="430"/>
      <c r="G19" s="45">
        <v>6</v>
      </c>
      <c r="H19" s="206" t="str">
        <f>VLOOKUP(C19,'Sales Master'!B$3:F$936,5,0)</f>
        <v xml:space="preserve">3.3KG/Can </v>
      </c>
      <c r="I19" s="432" t="str">
        <f>VLOOKUP(C19,'Sales Master'!B$3:E$936,4,0)</f>
        <v>Joy</v>
      </c>
      <c r="J19" s="432"/>
      <c r="K19" s="184">
        <f>VLOOKUP(C19,'Sales Master'!B$3:BX$536,75,0)</f>
        <v>12</v>
      </c>
      <c r="L19" s="23">
        <f>K19*G19</f>
        <v>72</v>
      </c>
      <c r="N19" s="247">
        <f>VLOOKUP(C19,'Sales Master'!$B$3:$FA$3051,156,0)</f>
        <v>8.3333333333333339</v>
      </c>
      <c r="O19" s="247">
        <f>K19-N19</f>
        <v>3.6666666666666661</v>
      </c>
      <c r="P19" s="247">
        <f>O19*G19</f>
        <v>21.999999999999996</v>
      </c>
    </row>
    <row r="20" spans="2:22" ht="20.149999999999999" customHeight="1" x14ac:dyDescent="0.45">
      <c r="B20" s="21"/>
      <c r="C20" s="338" t="s">
        <v>1044</v>
      </c>
      <c r="D20" s="430" t="str">
        <f>VLOOKUP(C20,'Sales Master'!B$3:D$644,2,0)</f>
        <v>Carnation Milk 三花淡奶水</v>
      </c>
      <c r="E20" s="430"/>
      <c r="F20" s="430"/>
      <c r="G20" s="45">
        <v>1</v>
      </c>
      <c r="H20" s="206" t="str">
        <f>VLOOKUP(C20,'Sales Master'!B$3:F$936,5,0)</f>
        <v>405 gm x48 can/Ctn</v>
      </c>
      <c r="I20" s="432" t="str">
        <f>VLOOKUP(C20,'Sales Master'!B$3:E$936,4,0)</f>
        <v>Threeflower</v>
      </c>
      <c r="J20" s="432"/>
      <c r="K20" s="184">
        <f>VLOOKUP(C20,'Sales Master'!B$3:BX$536,75,0)</f>
        <v>60</v>
      </c>
      <c r="L20" s="23">
        <f t="shared" ref="L20" si="3">K20*G20</f>
        <v>60</v>
      </c>
      <c r="N20" s="247">
        <f>VLOOKUP(C20,'Sales Master'!$B$3:$FA$3051,156,0)</f>
        <v>52</v>
      </c>
      <c r="O20" s="247">
        <f t="shared" ref="O20" si="4">K20-N20</f>
        <v>8</v>
      </c>
      <c r="P20" s="247">
        <f t="shared" ref="P20" si="5">O20*G20</f>
        <v>8</v>
      </c>
    </row>
    <row r="21" spans="2:22" ht="20.149999999999999" customHeight="1" x14ac:dyDescent="0.45">
      <c r="B21" s="21"/>
      <c r="C21" s="338" t="s">
        <v>1080</v>
      </c>
      <c r="D21" s="430" t="str">
        <f>VLOOKUP(C21,'Sales Master'!B$3:D$644,2,0)</f>
        <v>Fine Sugar 白糖</v>
      </c>
      <c r="E21" s="430"/>
      <c r="F21" s="430"/>
      <c r="G21" s="45">
        <v>4</v>
      </c>
      <c r="H21" s="206" t="str">
        <f>VLOOKUP(C21,'Sales Master'!B$3:F$936,5,0)</f>
        <v>25 KGS</v>
      </c>
      <c r="I21" s="432" t="str">
        <f>VLOOKUP(C21,'Sales Master'!B$3:E$936,4,0)</f>
        <v>MITR PHOL</v>
      </c>
      <c r="J21" s="432"/>
      <c r="K21" s="184">
        <f>VLOOKUP(C21,'Sales Master'!B$3:BX$536,75,0)</f>
        <v>33.5</v>
      </c>
      <c r="L21" s="23">
        <f>K21*G21</f>
        <v>134</v>
      </c>
      <c r="N21" s="247">
        <f>VLOOKUP(C21,'Sales Master'!$B$3:$FA$3051,156,0)</f>
        <v>26.784000000000002</v>
      </c>
      <c r="O21" s="247">
        <f>K21-N21</f>
        <v>6.7159999999999975</v>
      </c>
      <c r="P21" s="247">
        <f>O21*G21</f>
        <v>26.86399999999999</v>
      </c>
    </row>
    <row r="22" spans="2:22" ht="20.149999999999999" customHeight="1" x14ac:dyDescent="0.45">
      <c r="B22" s="177"/>
      <c r="C22" s="338"/>
      <c r="D22" s="430"/>
      <c r="E22" s="430"/>
      <c r="F22" s="430"/>
      <c r="G22" s="45"/>
      <c r="H22" s="206"/>
      <c r="I22" s="432"/>
      <c r="J22" s="432"/>
      <c r="K22" s="184"/>
      <c r="L22" s="23"/>
      <c r="N22" s="247"/>
      <c r="O22" s="247"/>
      <c r="P22" s="247"/>
    </row>
    <row r="23" spans="2:22" ht="20.149999999999999" customHeight="1" x14ac:dyDescent="0.45">
      <c r="B23" s="21"/>
      <c r="C23" s="338"/>
      <c r="D23" s="554" t="s">
        <v>1758</v>
      </c>
      <c r="E23" s="554"/>
      <c r="F23" s="554"/>
      <c r="G23" s="45"/>
      <c r="H23" s="206"/>
      <c r="I23" s="432"/>
      <c r="J23" s="432"/>
      <c r="K23" s="184"/>
      <c r="L23" s="23"/>
      <c r="N23" s="247"/>
      <c r="O23" s="247"/>
      <c r="P23" s="247"/>
    </row>
    <row r="24" spans="2:22" ht="20.149999999999999" customHeight="1" x14ac:dyDescent="0.45">
      <c r="B24" s="21"/>
      <c r="C24" s="338"/>
      <c r="D24" s="430"/>
      <c r="E24" s="430"/>
      <c r="F24" s="430"/>
      <c r="G24" s="45"/>
      <c r="H24" s="206"/>
      <c r="I24" s="432"/>
      <c r="J24" s="432"/>
      <c r="K24" s="184"/>
      <c r="L24" s="23"/>
      <c r="N24" s="247"/>
      <c r="O24" s="247"/>
      <c r="P24" s="247"/>
    </row>
    <row r="25" spans="2:22" ht="20.149999999999999" customHeight="1" x14ac:dyDescent="0.45">
      <c r="B25" s="21"/>
      <c r="C25" s="338"/>
      <c r="D25" s="430"/>
      <c r="E25" s="430"/>
      <c r="F25" s="430"/>
      <c r="G25" s="45"/>
      <c r="H25" s="206"/>
      <c r="I25" s="432"/>
      <c r="J25" s="432"/>
      <c r="K25" s="184"/>
      <c r="L25" s="23"/>
      <c r="N25" s="247"/>
      <c r="O25" s="247"/>
      <c r="P25" s="247"/>
    </row>
    <row r="26" spans="2:22" ht="20.149999999999999" customHeight="1" x14ac:dyDescent="0.45">
      <c r="B26" s="21"/>
      <c r="C26" s="338"/>
      <c r="D26" s="430"/>
      <c r="E26" s="430"/>
      <c r="F26" s="430"/>
      <c r="G26" s="45"/>
      <c r="H26" s="206"/>
      <c r="I26" s="432"/>
      <c r="J26" s="432"/>
      <c r="K26" s="184"/>
      <c r="L26" s="23"/>
      <c r="N26" s="247"/>
      <c r="O26" s="247"/>
      <c r="P26" s="247"/>
    </row>
    <row r="27" spans="2:22" ht="20.149999999999999" customHeight="1" x14ac:dyDescent="0.45">
      <c r="B27" s="21"/>
      <c r="C27" s="338"/>
      <c r="D27" s="69"/>
      <c r="E27" s="69"/>
      <c r="F27" s="69"/>
      <c r="G27" s="45"/>
      <c r="H27" s="241"/>
      <c r="I27" s="322"/>
      <c r="J27" s="322"/>
      <c r="K27" s="184"/>
      <c r="L27" s="23"/>
      <c r="N27" s="247"/>
      <c r="O27" s="247"/>
      <c r="P27" s="247"/>
    </row>
    <row r="28" spans="2:22" ht="20.149999999999999" customHeight="1" x14ac:dyDescent="0.45">
      <c r="B28" s="21"/>
      <c r="C28" s="45"/>
      <c r="D28" s="430"/>
      <c r="E28" s="430"/>
      <c r="F28" s="430"/>
      <c r="G28" s="45"/>
      <c r="H28" s="241"/>
      <c r="I28" s="494"/>
      <c r="J28" s="494"/>
      <c r="K28" s="184"/>
      <c r="L28" s="23"/>
      <c r="N28" s="247"/>
      <c r="O28" s="247"/>
      <c r="P28" s="247"/>
    </row>
    <row r="29" spans="2:22" ht="20.149999999999999" customHeight="1" x14ac:dyDescent="0.45">
      <c r="B29" s="21"/>
      <c r="C29" s="305" t="s">
        <v>1754</v>
      </c>
      <c r="E29" s="69"/>
      <c r="F29" s="69"/>
      <c r="G29" s="99"/>
      <c r="H29" s="65"/>
      <c r="I29" s="65"/>
      <c r="J29" s="65"/>
      <c r="K29" s="22"/>
      <c r="L29" s="23"/>
      <c r="N29" s="247"/>
      <c r="O29" s="247"/>
      <c r="P29" s="247"/>
    </row>
    <row r="30" spans="2:22" ht="20.149999999999999" customHeight="1" x14ac:dyDescent="0.45">
      <c r="B30" s="21"/>
      <c r="C30" s="338" t="s">
        <v>1035</v>
      </c>
      <c r="D30" s="430" t="str">
        <f>VLOOKUP(C30,'Sales Master'!B$3:D$643,2,0)</f>
        <v>Fruit Cocktail 杂果</v>
      </c>
      <c r="E30" s="430"/>
      <c r="F30" s="430"/>
      <c r="G30" s="99">
        <v>1</v>
      </c>
      <c r="H30" s="206" t="str">
        <f>VLOOKUP(C30,'Sales Master'!B$3:F$936,5,0)</f>
        <v>(820gm x 12)/箱</v>
      </c>
      <c r="I30" s="432" t="str">
        <f>VLOOKUP(C30,'Sales Master'!B$3:E$936,4,0)</f>
        <v>Statue</v>
      </c>
      <c r="J30" s="432"/>
      <c r="K30" s="22">
        <v>36</v>
      </c>
      <c r="L30" s="23"/>
      <c r="N30" s="247"/>
      <c r="O30" s="247"/>
      <c r="P30" s="247"/>
    </row>
    <row r="31" spans="2:22" ht="20.149999999999999" customHeight="1" x14ac:dyDescent="0.45">
      <c r="B31" s="21"/>
      <c r="C31" s="338" t="s">
        <v>1095</v>
      </c>
      <c r="D31" s="430" t="str">
        <f>VLOOKUP(C31,'Sales Master'!B$3:D$643,2,0)</f>
        <v>Yam 芋头</v>
      </c>
      <c r="E31" s="430"/>
      <c r="F31" s="430"/>
      <c r="G31" s="99">
        <v>1</v>
      </c>
      <c r="H31" s="206" t="str">
        <f>VLOOKUP(C31,'Sales Master'!B$3:F$936,5,0)</f>
        <v>1 KG</v>
      </c>
      <c r="I31" s="432" t="str">
        <f>VLOOKUP(C31,'Sales Master'!B$3:E$936,4,0)</f>
        <v>Thailand</v>
      </c>
      <c r="J31" s="432"/>
      <c r="K31" s="22">
        <v>4</v>
      </c>
      <c r="L31" s="23"/>
      <c r="N31" s="247"/>
      <c r="O31" s="247"/>
      <c r="P31" s="247"/>
    </row>
    <row r="32" spans="2:22" ht="20.149999999999999" customHeight="1" x14ac:dyDescent="0.45">
      <c r="B32" s="21"/>
      <c r="C32" s="338" t="s">
        <v>1098</v>
      </c>
      <c r="D32" s="430" t="str">
        <f>VLOOKUP(C32,'Sales Master'!B$3:D$643,2,0)</f>
        <v>Pandan Leaf 班兰叶</v>
      </c>
      <c r="E32" s="430"/>
      <c r="F32" s="430"/>
      <c r="G32" s="99">
        <v>1</v>
      </c>
      <c r="H32" s="206" t="str">
        <f>VLOOKUP(C32,'Sales Master'!B$3:F$936,5,0)</f>
        <v>1 kg</v>
      </c>
      <c r="I32" s="432" t="str">
        <f>VLOOKUP(C32,'Sales Master'!B$3:E$936,4,0)</f>
        <v>-</v>
      </c>
      <c r="J32" s="432"/>
      <c r="K32" s="22">
        <v>2</v>
      </c>
      <c r="L32" s="23"/>
      <c r="N32" s="247"/>
      <c r="O32" s="247"/>
      <c r="P32" s="247"/>
    </row>
    <row r="33" spans="2:16" ht="20.149999999999999" customHeight="1" x14ac:dyDescent="0.45">
      <c r="B33" s="21"/>
      <c r="C33" s="338" t="s">
        <v>1752</v>
      </c>
      <c r="D33" s="430" t="str">
        <f>VLOOKUP(C33,'Sales Master'!B$3:D$643,2,0)</f>
        <v>Almond Syrup 杏仁精</v>
      </c>
      <c r="E33" s="430"/>
      <c r="F33" s="430"/>
      <c r="G33" s="99">
        <v>1</v>
      </c>
      <c r="H33" s="206" t="str">
        <f>VLOOKUP(C33,'Sales Master'!B$3:F$936,5,0)</f>
        <v>500 ml</v>
      </c>
      <c r="I33" s="432" t="str">
        <f>VLOOKUP(C33,'Sales Master'!B$3:E$936,4,0)</f>
        <v>Kwang Rong</v>
      </c>
      <c r="J33" s="432"/>
      <c r="K33" s="22">
        <v>4.5</v>
      </c>
      <c r="L33" s="23"/>
      <c r="N33" s="247"/>
      <c r="O33" s="247"/>
      <c r="P33" s="247"/>
    </row>
    <row r="34" spans="2:16" ht="20.149999999999999" customHeight="1" thickBot="1" x14ac:dyDescent="0.5">
      <c r="B34" s="24"/>
      <c r="C34" s="25"/>
      <c r="D34" s="473"/>
      <c r="E34" s="473"/>
      <c r="F34" s="473"/>
      <c r="G34" s="25"/>
      <c r="H34" s="66"/>
      <c r="I34" s="66"/>
      <c r="J34" s="66"/>
      <c r="K34" s="26"/>
      <c r="L34" s="27"/>
    </row>
    <row r="35" spans="2:16" ht="20.149999999999999" customHeight="1" thickBot="1" x14ac:dyDescent="0.5">
      <c r="B35" s="28"/>
      <c r="L35" s="29"/>
    </row>
    <row r="36" spans="2:16" ht="20.149999999999999" customHeight="1" x14ac:dyDescent="0.45">
      <c r="B36" s="11" t="s">
        <v>16</v>
      </c>
      <c r="C36" s="10"/>
      <c r="D36" s="10"/>
      <c r="E36" s="10"/>
      <c r="F36" s="10"/>
      <c r="G36" s="10"/>
      <c r="H36" s="10"/>
      <c r="I36" s="10"/>
      <c r="J36" s="474" t="s">
        <v>13</v>
      </c>
      <c r="K36" s="475"/>
      <c r="L36" s="30">
        <f>SUM(L18:L35)</f>
        <v>351</v>
      </c>
      <c r="M36" s="95">
        <f>SUM(P18:P35)-(L39*0.02)</f>
        <v>72.494</v>
      </c>
    </row>
    <row r="37" spans="2:16" ht="20.149999999999999" customHeight="1" x14ac:dyDescent="0.45">
      <c r="B37" s="11" t="s">
        <v>17</v>
      </c>
      <c r="C37" s="10"/>
      <c r="D37" s="10"/>
      <c r="E37" s="10"/>
      <c r="F37" s="10"/>
      <c r="G37" s="10"/>
      <c r="H37" s="10"/>
      <c r="I37" s="10"/>
      <c r="J37" s="110" t="s">
        <v>553</v>
      </c>
      <c r="K37" s="113">
        <v>6.54E-2</v>
      </c>
      <c r="L37" s="32">
        <f>L39</f>
        <v>26</v>
      </c>
    </row>
    <row r="38" spans="2:16" ht="20.149999999999999" customHeight="1" x14ac:dyDescent="0.45">
      <c r="B38" s="11" t="s">
        <v>18</v>
      </c>
      <c r="C38" s="10"/>
      <c r="D38" s="10"/>
      <c r="E38" s="10"/>
      <c r="F38" s="10"/>
      <c r="G38" s="10"/>
      <c r="H38" s="10"/>
      <c r="I38" s="10"/>
      <c r="J38" s="476" t="s">
        <v>555</v>
      </c>
      <c r="K38" s="477"/>
      <c r="L38" s="114">
        <f>L36/108*100</f>
        <v>325</v>
      </c>
    </row>
    <row r="39" spans="2:16" ht="20.149999999999999" customHeight="1" x14ac:dyDescent="0.45">
      <c r="B39" s="11" t="s">
        <v>22</v>
      </c>
      <c r="C39" s="10"/>
      <c r="D39" s="10"/>
      <c r="E39" s="10"/>
      <c r="F39" s="10"/>
      <c r="G39" s="10"/>
      <c r="H39" s="10"/>
      <c r="I39" s="10"/>
      <c r="J39" s="111" t="s">
        <v>554</v>
      </c>
      <c r="K39" s="112">
        <v>0.08</v>
      </c>
      <c r="L39" s="44">
        <f>L38*K39</f>
        <v>26</v>
      </c>
    </row>
    <row r="40" spans="2:16" ht="20.149999999999999" customHeight="1" thickBot="1" x14ac:dyDescent="0.5">
      <c r="B40" s="11" t="s">
        <v>748</v>
      </c>
      <c r="C40" s="10"/>
      <c r="D40" s="10"/>
      <c r="E40" s="10"/>
      <c r="F40" s="10"/>
      <c r="G40" s="10"/>
      <c r="H40" s="10"/>
      <c r="I40" s="10"/>
      <c r="J40" s="478" t="s">
        <v>21</v>
      </c>
      <c r="K40" s="479"/>
      <c r="L40" s="33">
        <f>L38+L39</f>
        <v>351</v>
      </c>
    </row>
    <row r="41" spans="2:16" ht="20.149999999999999" customHeight="1" x14ac:dyDescent="0.45">
      <c r="B41" s="11" t="s">
        <v>23</v>
      </c>
      <c r="C41" s="10"/>
      <c r="D41" s="10"/>
      <c r="E41" s="10"/>
      <c r="F41" s="10"/>
      <c r="G41" s="10"/>
      <c r="H41" s="10"/>
      <c r="I41" s="10"/>
      <c r="L41" s="29"/>
    </row>
    <row r="42" spans="2:16" ht="20.149999999999999" customHeight="1" x14ac:dyDescent="0.45">
      <c r="B42" s="183" t="s">
        <v>749</v>
      </c>
      <c r="L42" s="29"/>
    </row>
    <row r="43" spans="2:16" ht="20.149999999999999" customHeight="1" x14ac:dyDescent="0.45">
      <c r="B43" s="28"/>
      <c r="L43" s="29"/>
    </row>
    <row r="44" spans="2:16" ht="20.149999999999999" customHeight="1" x14ac:dyDescent="0.45">
      <c r="B44" s="28"/>
      <c r="L44" s="29"/>
    </row>
    <row r="45" spans="2:16" ht="20.149999999999999" customHeight="1" x14ac:dyDescent="0.45">
      <c r="B45" s="28"/>
      <c r="L45" s="29"/>
    </row>
    <row r="46" spans="2:16" ht="20.149999999999999" customHeight="1" x14ac:dyDescent="0.45">
      <c r="B46" s="34"/>
      <c r="C46" s="35"/>
      <c r="D46" s="35"/>
      <c r="J46" s="35"/>
      <c r="K46" s="35"/>
      <c r="L46" s="36"/>
    </row>
    <row r="47" spans="2:16" ht="20.149999999999999" customHeight="1" x14ac:dyDescent="0.45">
      <c r="B47" s="28" t="s">
        <v>24</v>
      </c>
      <c r="J47" s="60" t="s">
        <v>25</v>
      </c>
      <c r="L47" s="29"/>
    </row>
    <row r="48" spans="2:16" ht="19" thickBot="1" x14ac:dyDescent="0.5">
      <c r="B48" s="37"/>
      <c r="C48" s="62"/>
      <c r="D48" s="62"/>
      <c r="E48" s="62"/>
      <c r="F48" s="62"/>
      <c r="G48" s="62"/>
      <c r="H48" s="62"/>
      <c r="I48" s="62"/>
      <c r="J48" s="62"/>
      <c r="K48" s="62"/>
      <c r="L48" s="38"/>
    </row>
    <row r="51" spans="3:11" x14ac:dyDescent="0.45">
      <c r="C51" s="274" t="s">
        <v>1307</v>
      </c>
      <c r="D51" s="121"/>
      <c r="E51" s="121"/>
      <c r="F51" s="121"/>
      <c r="G51" s="239"/>
      <c r="H51" s="273"/>
      <c r="I51" s="65"/>
      <c r="J51" s="65"/>
      <c r="K51" s="22"/>
    </row>
    <row r="52" spans="3:11" x14ac:dyDescent="0.45">
      <c r="C52" s="45" t="s">
        <v>1081</v>
      </c>
      <c r="D52" s="440" t="str">
        <f>VLOOKUP(C52,'Sales Master'!B$3:D$702,2,0)</f>
        <v>Fine Sugar 白糖</v>
      </c>
      <c r="E52" s="440"/>
      <c r="F52" s="440"/>
      <c r="G52" s="233">
        <v>1</v>
      </c>
      <c r="H52" s="65" t="str">
        <f>VLOOKUP(C52,'Sales Master'!B$3:F$936,5,0)</f>
        <v>25 KGS</v>
      </c>
      <c r="I52" s="431" t="str">
        <f>VLOOKUP(C52,'Sales Master'!B$3:E$936,4,0)</f>
        <v>SUN</v>
      </c>
      <c r="J52" s="431"/>
      <c r="K52" s="22">
        <v>28</v>
      </c>
    </row>
    <row r="53" spans="3:11" x14ac:dyDescent="0.45">
      <c r="C53" s="99"/>
      <c r="D53" s="130"/>
      <c r="E53" s="130"/>
      <c r="F53" s="130"/>
      <c r="G53" s="99"/>
      <c r="H53" s="65"/>
      <c r="I53" s="65"/>
      <c r="J53" s="65"/>
      <c r="K53" s="22"/>
    </row>
    <row r="54" spans="3:11" x14ac:dyDescent="0.45">
      <c r="C54" s="172" t="s">
        <v>1304</v>
      </c>
      <c r="G54" s="233"/>
      <c r="H54" s="65"/>
      <c r="I54" s="65"/>
      <c r="J54" s="65"/>
      <c r="K54" s="22"/>
    </row>
    <row r="55" spans="3:11" x14ac:dyDescent="0.45">
      <c r="C55" s="45" t="s">
        <v>1080</v>
      </c>
      <c r="D55" s="440" t="str">
        <f>VLOOKUP(C55,'Sales Master'!B$3:D$702,2,0)</f>
        <v>Fine Sugar 白糖</v>
      </c>
      <c r="E55" s="440"/>
      <c r="F55" s="440"/>
      <c r="G55" s="233">
        <v>1</v>
      </c>
      <c r="H55" s="65" t="str">
        <f>VLOOKUP(C55,'Sales Master'!B$3:F$936,5,0)</f>
        <v>25 KGS</v>
      </c>
      <c r="I55" s="431" t="str">
        <f>VLOOKUP(C55,'Sales Master'!B$3:E$936,4,0)</f>
        <v>MITR PHOL</v>
      </c>
      <c r="J55" s="431"/>
      <c r="K55" s="22">
        <v>29</v>
      </c>
    </row>
    <row r="56" spans="3:11" x14ac:dyDescent="0.45">
      <c r="C56" s="45"/>
      <c r="D56" s="430"/>
      <c r="E56" s="430"/>
      <c r="F56" s="430"/>
      <c r="G56" s="233"/>
      <c r="H56" s="65"/>
      <c r="I56" s="431"/>
      <c r="J56" s="431"/>
      <c r="K56" s="22"/>
    </row>
    <row r="57" spans="3:11" x14ac:dyDescent="0.45">
      <c r="C57" s="172" t="s">
        <v>618</v>
      </c>
      <c r="G57" s="233"/>
      <c r="H57" s="65"/>
      <c r="I57" s="65"/>
      <c r="J57" s="65"/>
      <c r="K57" s="22"/>
    </row>
    <row r="58" spans="3:11" x14ac:dyDescent="0.45">
      <c r="C58" s="45" t="s">
        <v>1080</v>
      </c>
      <c r="D58" s="440" t="str">
        <f>VLOOKUP(C58,'Sales Master'!B$3:D$702,2,0)</f>
        <v>Fine Sugar 白糖</v>
      </c>
      <c r="E58" s="440"/>
      <c r="F58" s="440"/>
      <c r="G58" s="233">
        <v>1</v>
      </c>
      <c r="H58" s="65" t="str">
        <f>VLOOKUP(C58,'Sales Master'!B$3:F$936,5,0)</f>
        <v>25 KGS</v>
      </c>
      <c r="I58" s="431" t="str">
        <f>VLOOKUP(C58,'Sales Master'!B$3:E$936,4,0)</f>
        <v>MITR PHOL</v>
      </c>
      <c r="J58" s="431"/>
      <c r="K58" s="22">
        <v>31</v>
      </c>
    </row>
  </sheetData>
  <mergeCells count="54">
    <mergeCell ref="I33:J33"/>
    <mergeCell ref="D26:F26"/>
    <mergeCell ref="D31:F31"/>
    <mergeCell ref="I31:J31"/>
    <mergeCell ref="D23:F23"/>
    <mergeCell ref="D33:F33"/>
    <mergeCell ref="D24:F24"/>
    <mergeCell ref="I32:J32"/>
    <mergeCell ref="D32:F32"/>
    <mergeCell ref="I24:J24"/>
    <mergeCell ref="D25:F25"/>
    <mergeCell ref="I30:J30"/>
    <mergeCell ref="I25:J25"/>
    <mergeCell ref="D30:F30"/>
    <mergeCell ref="D34:F34"/>
    <mergeCell ref="D58:F58"/>
    <mergeCell ref="I58:J58"/>
    <mergeCell ref="J40:K40"/>
    <mergeCell ref="D52:F52"/>
    <mergeCell ref="I52:J52"/>
    <mergeCell ref="D55:F55"/>
    <mergeCell ref="I55:J55"/>
    <mergeCell ref="D56:F56"/>
    <mergeCell ref="I56:J56"/>
    <mergeCell ref="J36:K36"/>
    <mergeCell ref="J38:K38"/>
    <mergeCell ref="D17:F17"/>
    <mergeCell ref="I17:J17"/>
    <mergeCell ref="I21:J21"/>
    <mergeCell ref="D21:F21"/>
    <mergeCell ref="I19:J19"/>
    <mergeCell ref="D19:F19"/>
    <mergeCell ref="D20:F20"/>
    <mergeCell ref="I20:J20"/>
    <mergeCell ref="D18:F18"/>
    <mergeCell ref="I18:J18"/>
    <mergeCell ref="I22:J22"/>
    <mergeCell ref="I23:J23"/>
    <mergeCell ref="D22:F22"/>
    <mergeCell ref="I26:J26"/>
    <mergeCell ref="D28:F28"/>
    <mergeCell ref="I28:J28"/>
    <mergeCell ref="B1:L8"/>
    <mergeCell ref="K10:L10"/>
    <mergeCell ref="B11:D11"/>
    <mergeCell ref="F11:H15"/>
    <mergeCell ref="K11:L11"/>
    <mergeCell ref="B12:D12"/>
    <mergeCell ref="K12:L12"/>
    <mergeCell ref="B14:D14"/>
    <mergeCell ref="K14:L14"/>
    <mergeCell ref="K15:L15"/>
    <mergeCell ref="B13:D13"/>
    <mergeCell ref="K13:L13"/>
  </mergeCells>
  <conditionalFormatting sqref="C29:C31">
    <cfRule type="duplicateValues" dxfId="11" priority="1"/>
  </conditionalFormatting>
  <conditionalFormatting sqref="C32:C33">
    <cfRule type="duplicateValues" dxfId="10" priority="2"/>
  </conditionalFormatting>
  <conditionalFormatting sqref="C54:C57">
    <cfRule type="duplicateValues" dxfId="9" priority="4"/>
  </conditionalFormatting>
  <conditionalFormatting sqref="C55:C56">
    <cfRule type="duplicateValues" dxfId="8" priority="3"/>
  </conditionalFormatting>
  <printOptions horizontalCentered="1"/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B4E966-7E16-48F2-BEFE-2CB74BB537D6}">
  <sheetPr codeName="Sheet144">
    <tabColor rgb="FF92D050"/>
    <pageSetUpPr fitToPage="1"/>
  </sheetPr>
  <dimension ref="B1:P45"/>
  <sheetViews>
    <sheetView topLeftCell="C17" zoomScaleNormal="100" workbookViewId="0">
      <selection activeCell="H18" sqref="H1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3.26953125" style="60" customWidth="1"/>
    <col min="12" max="16384" width="12.54296875" style="60"/>
  </cols>
  <sheetData>
    <row r="1" spans="2:14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4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4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4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4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4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4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4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4" ht="19" thickBot="1" x14ac:dyDescent="0.5">
      <c r="B9" s="12"/>
    </row>
    <row r="10" spans="2:14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503</v>
      </c>
      <c r="J10" s="17" t="s">
        <v>26</v>
      </c>
      <c r="K10" s="455">
        <v>202206399</v>
      </c>
      <c r="L10" s="456"/>
    </row>
    <row r="11" spans="2:14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SH Cafe                                                         38A Margaret Drive #02-40 Singapore 142038</v>
      </c>
      <c r="G11" s="445"/>
      <c r="H11" s="446"/>
      <c r="J11" s="18" t="s">
        <v>9</v>
      </c>
      <c r="K11" s="460">
        <v>44736</v>
      </c>
      <c r="L11" s="461"/>
    </row>
    <row r="12" spans="2:14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4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4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4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  <c r="N15" s="69" t="s">
        <v>609</v>
      </c>
    </row>
    <row r="16" spans="2:14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45" t="s">
        <v>1044</v>
      </c>
      <c r="D18" s="430" t="str">
        <f>VLOOKUP(C18,'Sales Master'!B$3:D$644,2,0)</f>
        <v>Carnation Milk 三花淡奶水</v>
      </c>
      <c r="E18" s="430"/>
      <c r="F18" s="430"/>
      <c r="G18" s="45">
        <v>1</v>
      </c>
      <c r="H18" s="65" t="str">
        <f>VLOOKUP(C18,'Sales Master'!B$3:F$936,5,0)</f>
        <v>405 gm x48 can/Ctn</v>
      </c>
      <c r="I18" s="431" t="str">
        <f>VLOOKUP(C18,'Sales Master'!B$3:E$936,4,0)</f>
        <v>Threeflower</v>
      </c>
      <c r="J18" s="431"/>
      <c r="K18" s="22">
        <f>VLOOKUP(C18,'Sales Master'!B$3:AK$527,36,0)</f>
        <v>60</v>
      </c>
      <c r="L18" s="120">
        <f>K18*G18</f>
        <v>60</v>
      </c>
      <c r="N18" s="247">
        <f>VLOOKUP(C18,'Sales Master'!$B$3:$FA$3051,156,0)</f>
        <v>52</v>
      </c>
      <c r="O18" s="247">
        <f>K18-N18</f>
        <v>8</v>
      </c>
      <c r="P18" s="247">
        <f>O18*G18</f>
        <v>8</v>
      </c>
    </row>
    <row r="19" spans="2:16" ht="20.149999999999999" customHeight="1" x14ac:dyDescent="0.45">
      <c r="B19" s="21"/>
      <c r="C19" s="262" t="s">
        <v>1048</v>
      </c>
      <c r="D19" s="430" t="str">
        <f>VLOOKUP(C19,'Sales Master'!B$3:D$644,2,0)</f>
        <v>Sweetened Creamer 练奶</v>
      </c>
      <c r="E19" s="430"/>
      <c r="F19" s="430"/>
      <c r="G19" s="45">
        <v>1</v>
      </c>
      <c r="H19" s="65" t="str">
        <f>VLOOKUP(C19,'Sales Master'!B$3:F$936,5,0)</f>
        <v>380 gm x 48 can/Ctn</v>
      </c>
      <c r="I19" s="431" t="str">
        <f>VLOOKUP(C19,'Sales Master'!B$3:E$936,4,0)</f>
        <v>Dawn牛</v>
      </c>
      <c r="J19" s="431"/>
      <c r="K19" s="22">
        <f>VLOOKUP(C19,'Sales Master'!B$3:AK$527,36,0)</f>
        <v>50</v>
      </c>
      <c r="L19" s="120">
        <f>K19*G19</f>
        <v>50</v>
      </c>
      <c r="N19" s="247">
        <f>VLOOKUP(C19,'Sales Master'!$B$3:$FA$3051,156,0)</f>
        <v>39</v>
      </c>
      <c r="O19" s="247">
        <f>K19-N19</f>
        <v>11</v>
      </c>
      <c r="P19" s="247">
        <f>O19*G19</f>
        <v>11</v>
      </c>
    </row>
    <row r="20" spans="2:16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120"/>
    </row>
    <row r="21" spans="2:16" ht="20.149999999999999" customHeight="1" x14ac:dyDescent="0.45">
      <c r="B21" s="21"/>
      <c r="C21" s="45"/>
      <c r="D21" s="69"/>
      <c r="E21" s="69"/>
      <c r="F21" s="69"/>
      <c r="G21" s="45"/>
      <c r="H21" s="65"/>
      <c r="I21" s="65"/>
      <c r="J21" s="65"/>
      <c r="K21" s="22"/>
      <c r="L21" s="120"/>
    </row>
    <row r="22" spans="2:16" ht="20.149999999999999" customHeight="1" x14ac:dyDescent="0.45">
      <c r="B22" s="21"/>
      <c r="C22" s="12"/>
      <c r="D22" s="69"/>
      <c r="E22" s="69"/>
      <c r="F22" s="69"/>
      <c r="G22" s="45"/>
      <c r="H22" s="65"/>
      <c r="I22" s="65"/>
      <c r="J22" s="65"/>
      <c r="K22" s="22"/>
      <c r="L22" s="120"/>
    </row>
    <row r="23" spans="2:16" ht="20.149999999999999" customHeight="1" x14ac:dyDescent="0.45">
      <c r="B23" s="21"/>
      <c r="C23" s="274" t="s">
        <v>1307</v>
      </c>
      <c r="D23" s="121"/>
      <c r="E23" s="121"/>
      <c r="F23" s="121"/>
      <c r="G23" s="239"/>
      <c r="H23" s="273"/>
      <c r="I23" s="65"/>
      <c r="J23" s="65"/>
      <c r="K23" s="22"/>
      <c r="L23" s="120"/>
    </row>
    <row r="24" spans="2:16" ht="20.149999999999999" customHeight="1" x14ac:dyDescent="0.45">
      <c r="B24" s="21"/>
      <c r="C24" s="45" t="s">
        <v>1081</v>
      </c>
      <c r="D24" s="440" t="str">
        <f>VLOOKUP(C24,'Sales Master'!B$3:D$702,2,0)</f>
        <v>Fine Sugar 白糖</v>
      </c>
      <c r="E24" s="440"/>
      <c r="F24" s="440"/>
      <c r="G24" s="233">
        <v>1</v>
      </c>
      <c r="H24" s="65" t="str">
        <f>VLOOKUP(C24,'Sales Master'!B$3:F$936,5,0)</f>
        <v>25 KGS</v>
      </c>
      <c r="I24" s="431" t="str">
        <f>VLOOKUP(C24,'Sales Master'!B$3:E$936,4,0)</f>
        <v>SUN</v>
      </c>
      <c r="J24" s="431"/>
      <c r="K24" s="22">
        <v>28</v>
      </c>
      <c r="L24" s="120"/>
    </row>
    <row r="25" spans="2:16" ht="20.149999999999999" customHeight="1" x14ac:dyDescent="0.45">
      <c r="B25" s="70"/>
      <c r="C25" s="99"/>
      <c r="D25" s="130"/>
      <c r="E25" s="130"/>
      <c r="F25" s="130"/>
      <c r="G25" s="99"/>
      <c r="H25" s="65"/>
      <c r="I25" s="65"/>
      <c r="J25" s="65"/>
      <c r="K25" s="22"/>
      <c r="L25" s="71"/>
    </row>
    <row r="26" spans="2:16" ht="20.149999999999999" customHeight="1" x14ac:dyDescent="0.45">
      <c r="B26" s="70"/>
      <c r="C26" s="172" t="s">
        <v>1304</v>
      </c>
      <c r="G26" s="233"/>
      <c r="H26" s="65"/>
      <c r="I26" s="65"/>
      <c r="J26" s="65"/>
      <c r="K26" s="22"/>
      <c r="L26" s="71"/>
    </row>
    <row r="27" spans="2:16" ht="20.149999999999999" customHeight="1" x14ac:dyDescent="0.45">
      <c r="B27" s="70"/>
      <c r="C27" s="45" t="s">
        <v>1080</v>
      </c>
      <c r="D27" s="440" t="str">
        <f>VLOOKUP(C27,'Sales Master'!B$3:D$702,2,0)</f>
        <v>Fine Sugar 白糖</v>
      </c>
      <c r="E27" s="440"/>
      <c r="F27" s="440"/>
      <c r="G27" s="233">
        <v>1</v>
      </c>
      <c r="H27" s="65" t="str">
        <f>VLOOKUP(C27,'Sales Master'!B$3:F$936,5,0)</f>
        <v>25 KGS</v>
      </c>
      <c r="I27" s="431" t="str">
        <f>VLOOKUP(C27,'Sales Master'!B$3:E$936,4,0)</f>
        <v>MITR PHOL</v>
      </c>
      <c r="J27" s="431"/>
      <c r="K27" s="22">
        <v>29</v>
      </c>
      <c r="L27" s="71"/>
    </row>
    <row r="28" spans="2:16" ht="20.149999999999999" customHeight="1" x14ac:dyDescent="0.45">
      <c r="B28" s="21"/>
      <c r="C28" s="45"/>
      <c r="D28" s="430"/>
      <c r="E28" s="430"/>
      <c r="F28" s="430"/>
      <c r="G28" s="233"/>
      <c r="H28" s="65"/>
      <c r="I28" s="431"/>
      <c r="J28" s="431"/>
      <c r="K28" s="22"/>
      <c r="L28" s="71"/>
    </row>
    <row r="29" spans="2:16" ht="20.149999999999999" customHeight="1" x14ac:dyDescent="0.45">
      <c r="B29" s="21"/>
      <c r="C29" s="172" t="s">
        <v>618</v>
      </c>
      <c r="G29" s="233"/>
      <c r="H29" s="65"/>
      <c r="I29" s="65"/>
      <c r="J29" s="65"/>
      <c r="K29" s="22"/>
      <c r="L29" s="71"/>
    </row>
    <row r="30" spans="2:16" ht="20.149999999999999" customHeight="1" x14ac:dyDescent="0.45">
      <c r="B30" s="21"/>
      <c r="C30" s="45" t="s">
        <v>1080</v>
      </c>
      <c r="D30" s="440" t="str">
        <f>VLOOKUP(C30,'Sales Master'!B$3:D$702,2,0)</f>
        <v>Fine Sugar 白糖</v>
      </c>
      <c r="E30" s="440"/>
      <c r="F30" s="440"/>
      <c r="G30" s="233">
        <v>1</v>
      </c>
      <c r="H30" s="65" t="str">
        <f>VLOOKUP(C30,'Sales Master'!B$3:F$936,5,0)</f>
        <v>25 KGS</v>
      </c>
      <c r="I30" s="431" t="str">
        <f>VLOOKUP(C30,'Sales Master'!B$3:E$936,4,0)</f>
        <v>MITR PHOL</v>
      </c>
      <c r="J30" s="431"/>
      <c r="K30" s="22">
        <v>31</v>
      </c>
      <c r="L30" s="23"/>
    </row>
    <row r="31" spans="2:16" ht="20.149999999999999" customHeight="1" thickBot="1" x14ac:dyDescent="0.5">
      <c r="B31" s="24"/>
      <c r="C31" s="25"/>
      <c r="D31" s="473"/>
      <c r="E31" s="473"/>
      <c r="F31" s="473"/>
      <c r="G31" s="25"/>
      <c r="H31" s="66"/>
      <c r="I31" s="66"/>
      <c r="J31" s="66"/>
      <c r="K31" s="26"/>
      <c r="L31" s="27"/>
    </row>
    <row r="32" spans="2:16" ht="20.149999999999999" customHeight="1" thickBot="1" x14ac:dyDescent="0.5">
      <c r="B32" s="28"/>
      <c r="L32" s="29"/>
    </row>
    <row r="33" spans="2:13" ht="20.149999999999999" customHeight="1" x14ac:dyDescent="0.45">
      <c r="B33" s="11" t="s">
        <v>16</v>
      </c>
      <c r="C33" s="10"/>
      <c r="D33" s="10"/>
      <c r="E33" s="10"/>
      <c r="F33" s="10"/>
      <c r="G33" s="10"/>
      <c r="H33" s="10"/>
      <c r="I33" s="10"/>
      <c r="J33" s="474" t="s">
        <v>13</v>
      </c>
      <c r="K33" s="475"/>
      <c r="L33" s="30">
        <f>SUM(L18:L32)</f>
        <v>110</v>
      </c>
      <c r="M33" s="95">
        <f>SUM(P9:P29)-(L36*0.02)</f>
        <v>18.856074766355139</v>
      </c>
    </row>
    <row r="34" spans="2:13" ht="20.149999999999999" customHeight="1" x14ac:dyDescent="0.45">
      <c r="B34" s="11" t="s">
        <v>17</v>
      </c>
      <c r="C34" s="10"/>
      <c r="D34" s="10"/>
      <c r="E34" s="10"/>
      <c r="F34" s="10"/>
      <c r="G34" s="10"/>
      <c r="H34" s="10"/>
      <c r="I34" s="10"/>
      <c r="J34" s="110" t="s">
        <v>553</v>
      </c>
      <c r="K34" s="113">
        <v>6.54E-2</v>
      </c>
      <c r="L34" s="32">
        <f>L36</f>
        <v>7.1962616822429899</v>
      </c>
    </row>
    <row r="35" spans="2:13" ht="20.149999999999999" customHeight="1" x14ac:dyDescent="0.45">
      <c r="B35" s="11" t="s">
        <v>18</v>
      </c>
      <c r="C35" s="10"/>
      <c r="D35" s="10"/>
      <c r="E35" s="10"/>
      <c r="F35" s="10"/>
      <c r="G35" s="10"/>
      <c r="H35" s="10"/>
      <c r="I35" s="10"/>
      <c r="J35" s="476" t="s">
        <v>555</v>
      </c>
      <c r="K35" s="477"/>
      <c r="L35" s="114">
        <f>L33/107*100</f>
        <v>102.803738317757</v>
      </c>
    </row>
    <row r="36" spans="2:13" ht="20.149999999999999" customHeight="1" x14ac:dyDescent="0.45">
      <c r="B36" s="11" t="s">
        <v>22</v>
      </c>
      <c r="C36" s="10"/>
      <c r="D36" s="10"/>
      <c r="E36" s="10"/>
      <c r="F36" s="10"/>
      <c r="G36" s="10"/>
      <c r="H36" s="10"/>
      <c r="I36" s="10"/>
      <c r="J36" s="111" t="s">
        <v>554</v>
      </c>
      <c r="K36" s="112">
        <v>7.0000000000000007E-2</v>
      </c>
      <c r="L36" s="44">
        <f>L35*K36</f>
        <v>7.1962616822429899</v>
      </c>
    </row>
    <row r="37" spans="2:13" ht="20.149999999999999" customHeight="1" thickBot="1" x14ac:dyDescent="0.5">
      <c r="B37" s="11" t="s">
        <v>748</v>
      </c>
      <c r="C37" s="10"/>
      <c r="D37" s="10"/>
      <c r="E37" s="10"/>
      <c r="F37" s="10"/>
      <c r="G37" s="10"/>
      <c r="H37" s="10"/>
      <c r="I37" s="10"/>
      <c r="J37" s="478" t="s">
        <v>21</v>
      </c>
      <c r="K37" s="479"/>
      <c r="L37" s="33">
        <f>L35+L36</f>
        <v>109.99999999999999</v>
      </c>
    </row>
    <row r="38" spans="2:13" ht="20.149999999999999" customHeight="1" x14ac:dyDescent="0.45">
      <c r="B38" s="11" t="s">
        <v>23</v>
      </c>
      <c r="C38" s="10"/>
      <c r="D38" s="10"/>
      <c r="E38" s="10"/>
      <c r="F38" s="10"/>
      <c r="G38" s="10"/>
      <c r="H38" s="10"/>
      <c r="I38" s="10"/>
      <c r="J38" s="270">
        <v>44693</v>
      </c>
      <c r="K38" s="206">
        <v>202205183</v>
      </c>
      <c r="L38" s="244">
        <v>73</v>
      </c>
    </row>
    <row r="39" spans="2:13" ht="20.149999999999999" customHeight="1" x14ac:dyDescent="0.45">
      <c r="B39" s="183" t="s">
        <v>749</v>
      </c>
      <c r="J39" s="270">
        <v>44709</v>
      </c>
      <c r="K39" s="206">
        <v>202205452</v>
      </c>
      <c r="L39" s="244">
        <v>102</v>
      </c>
    </row>
    <row r="40" spans="2:13" ht="20.149999999999999" customHeight="1" thickBot="1" x14ac:dyDescent="0.5">
      <c r="B40" s="28"/>
      <c r="J40" s="271"/>
      <c r="K40" s="271" t="s">
        <v>1227</v>
      </c>
      <c r="L40" s="272">
        <f>SUM(L37:L39)</f>
        <v>285</v>
      </c>
    </row>
    <row r="41" spans="2:13" ht="20.149999999999999" customHeight="1" thickTop="1" x14ac:dyDescent="0.45">
      <c r="B41" s="28"/>
      <c r="J41" s="440"/>
      <c r="K41" s="440"/>
      <c r="L41" s="263"/>
    </row>
    <row r="42" spans="2:13" ht="20.149999999999999" customHeight="1" x14ac:dyDescent="0.45">
      <c r="B42" s="28"/>
      <c r="L42" s="29"/>
    </row>
    <row r="43" spans="2:13" ht="20.149999999999999" customHeight="1" x14ac:dyDescent="0.45">
      <c r="B43" s="34"/>
      <c r="C43" s="35"/>
      <c r="D43" s="35"/>
      <c r="J43" s="35"/>
      <c r="K43" s="35"/>
      <c r="L43" s="36"/>
    </row>
    <row r="44" spans="2:13" ht="20.149999999999999" customHeight="1" x14ac:dyDescent="0.45">
      <c r="B44" s="28" t="s">
        <v>24</v>
      </c>
      <c r="J44" s="60" t="s">
        <v>25</v>
      </c>
      <c r="L44" s="29"/>
    </row>
    <row r="45" spans="2:13" ht="19" thickBot="1" x14ac:dyDescent="0.5">
      <c r="B45" s="37"/>
      <c r="C45" s="62"/>
      <c r="D45" s="62"/>
      <c r="E45" s="62"/>
      <c r="F45" s="62"/>
      <c r="G45" s="62"/>
      <c r="H45" s="62"/>
      <c r="I45" s="62"/>
      <c r="J45" s="62"/>
      <c r="K45" s="62"/>
      <c r="L45" s="38"/>
    </row>
  </sheetData>
  <mergeCells count="34">
    <mergeCell ref="J37:K37"/>
    <mergeCell ref="J41:K41"/>
    <mergeCell ref="D30:F30"/>
    <mergeCell ref="I30:J30"/>
    <mergeCell ref="D31:F31"/>
    <mergeCell ref="J33:K33"/>
    <mergeCell ref="J35:K35"/>
    <mergeCell ref="D24:F24"/>
    <mergeCell ref="I24:J24"/>
    <mergeCell ref="D27:F27"/>
    <mergeCell ref="I27:J27"/>
    <mergeCell ref="D28:F28"/>
    <mergeCell ref="I28:J28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26:C29">
    <cfRule type="duplicateValues" dxfId="7" priority="2"/>
  </conditionalFormatting>
  <conditionalFormatting sqref="C27:C28">
    <cfRule type="duplicateValues" dxfId="6" priority="1"/>
  </conditionalFormatting>
  <pageMargins left="0.70866141732283505" right="0.31496062992126" top="0.55118110236220497" bottom="0" header="0.31496062992126" footer="0.31496062992126"/>
  <pageSetup paperSize="9" scale="75" orientation="portrait" horizontalDpi="300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C5B0-FF10-4DAA-8D75-63A8826816AB}">
  <sheetPr codeName="Sheet99">
    <tabColor rgb="FF92D050"/>
    <pageSetUpPr fitToPage="1"/>
  </sheetPr>
  <dimension ref="B1:P47"/>
  <sheetViews>
    <sheetView topLeftCell="A23" zoomScaleNormal="100" workbookViewId="0"/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434</v>
      </c>
      <c r="J10" s="17" t="s">
        <v>26</v>
      </c>
      <c r="K10" s="455">
        <v>202310702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TEL: 97881171                                        Marine Terrace  Blk 57  #01-123 Singapore 440057</v>
      </c>
      <c r="G11" s="445"/>
      <c r="H11" s="446"/>
      <c r="J11" s="18" t="s">
        <v>9</v>
      </c>
      <c r="K11" s="460">
        <v>45230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 t="s">
        <v>1739</v>
      </c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6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46" t="s">
        <v>765</v>
      </c>
      <c r="O17" s="246" t="s">
        <v>1243</v>
      </c>
      <c r="P17" s="246" t="s">
        <v>1244</v>
      </c>
    </row>
    <row r="18" spans="2:16" ht="20.149999999999999" customHeight="1" x14ac:dyDescent="0.45">
      <c r="B18" s="21"/>
      <c r="C18" s="338" t="s">
        <v>820</v>
      </c>
      <c r="D18" s="430" t="str">
        <f>VLOOKUP(C18,'Sales Master'!B$3:D$316,2,0)</f>
        <v>Durian Puree 榴莲浆</v>
      </c>
      <c r="E18" s="430"/>
      <c r="F18" s="430"/>
      <c r="G18" s="45">
        <v>4</v>
      </c>
      <c r="H18" s="65" t="str">
        <f>VLOOKUP(C18,'Sales Master'!B$3:F$936,5,0)</f>
        <v>Box/盒</v>
      </c>
      <c r="I18" s="431" t="str">
        <f>VLOOKUP(C18,'Sales Master'!B$3:E$936,4,0)</f>
        <v>DO!</v>
      </c>
      <c r="J18" s="431"/>
      <c r="K18" s="22">
        <f>VLOOKUP(C18,'Sales Master'!B$3:AE$527,30,0)</f>
        <v>10</v>
      </c>
      <c r="L18" s="71">
        <f>K18*G18</f>
        <v>40</v>
      </c>
      <c r="N18" s="247">
        <f>VLOOKUP(C18,'Sales Master'!$B$3:$FA$3051,156,0)</f>
        <v>4.71</v>
      </c>
      <c r="O18" s="247">
        <f>K18-N18</f>
        <v>5.29</v>
      </c>
      <c r="P18" s="247">
        <f>O18*G18</f>
        <v>21.16</v>
      </c>
    </row>
    <row r="19" spans="2:16" ht="20.149999999999999" customHeight="1" x14ac:dyDescent="0.45">
      <c r="B19" s="21"/>
      <c r="C19" s="338" t="s">
        <v>821</v>
      </c>
      <c r="D19" s="430" t="str">
        <f>VLOOKUP(C19,'Sales Master'!B$3:D$316,2,0)</f>
        <v>Mango Puree 芒果浆</v>
      </c>
      <c r="E19" s="430"/>
      <c r="F19" s="430"/>
      <c r="G19" s="45">
        <v>2</v>
      </c>
      <c r="H19" s="65" t="str">
        <f>VLOOKUP(C19,'Sales Master'!B$3:F$936,5,0)</f>
        <v>Box/盒</v>
      </c>
      <c r="I19" s="431" t="str">
        <f>VLOOKUP(C19,'Sales Master'!B$3:E$936,4,0)</f>
        <v>DO!</v>
      </c>
      <c r="J19" s="431"/>
      <c r="K19" s="22">
        <f>VLOOKUP(C19,'Sales Master'!B$3:AE$527,30,0)</f>
        <v>8</v>
      </c>
      <c r="L19" s="71">
        <f t="shared" ref="L19:L20" si="0">K19*G19</f>
        <v>16</v>
      </c>
      <c r="N19" s="247">
        <f>VLOOKUP(C19,'Sales Master'!$B$3:$FA$3051,156,0)</f>
        <v>2.15</v>
      </c>
      <c r="O19" s="247">
        <f t="shared" ref="O19:O20" si="1">K19-N19</f>
        <v>5.85</v>
      </c>
      <c r="P19" s="247">
        <f t="shared" ref="P19:P20" si="2">O19*G19</f>
        <v>11.7</v>
      </c>
    </row>
    <row r="20" spans="2:16" ht="20.149999999999999" customHeight="1" x14ac:dyDescent="0.45">
      <c r="B20" s="21"/>
      <c r="C20" s="370" t="s">
        <v>1027</v>
      </c>
      <c r="D20" s="430" t="str">
        <f>VLOOKUP(C20,'Sales Master'!B$3:D$316,2,0)</f>
        <v>Longan in Syrup 龙眼</v>
      </c>
      <c r="E20" s="430"/>
      <c r="F20" s="430"/>
      <c r="G20" s="45">
        <v>1</v>
      </c>
      <c r="H20" s="65" t="str">
        <f>VLOOKUP(C20,'Sales Master'!B$3:F$936,5,0)</f>
        <v>(565gm x 12)/箱</v>
      </c>
      <c r="I20" s="431" t="str">
        <f>VLOOKUP(C20,'Sales Master'!B$3:E$936,4,0)</f>
        <v>YiFong</v>
      </c>
      <c r="J20" s="431"/>
      <c r="K20" s="22">
        <f>VLOOKUP(C20,'Sales Master'!B$3:AE$527,30,0)</f>
        <v>26</v>
      </c>
      <c r="L20" s="71">
        <f t="shared" si="0"/>
        <v>26</v>
      </c>
      <c r="N20" s="247">
        <f>VLOOKUP(C20,'Sales Master'!$B$3:$FA$3051,156,0)</f>
        <v>19.534883720930232</v>
      </c>
      <c r="O20" s="247">
        <f t="shared" si="1"/>
        <v>6.4651162790697683</v>
      </c>
      <c r="P20" s="247">
        <f t="shared" si="2"/>
        <v>6.4651162790697683</v>
      </c>
    </row>
    <row r="21" spans="2:16" ht="20.149999999999999" customHeight="1" x14ac:dyDescent="0.45">
      <c r="B21" s="21"/>
      <c r="C21" s="370" t="s">
        <v>1024</v>
      </c>
      <c r="D21" s="430" t="str">
        <f>VLOOKUP(C21,'Sales Master'!B$3:D$316,2,0)</f>
        <v>Nata 椰果芊 5mm</v>
      </c>
      <c r="E21" s="430"/>
      <c r="F21" s="430"/>
      <c r="G21" s="45">
        <v>1</v>
      </c>
      <c r="H21" s="65" t="str">
        <f>VLOOKUP(C21,'Sales Master'!B$3:F$936,5,0)</f>
        <v>1 Can X A10</v>
      </c>
      <c r="I21" s="431" t="str">
        <f>VLOOKUP(C21,'Sales Master'!B$3:E$936,4,0)</f>
        <v>Chefs</v>
      </c>
      <c r="J21" s="431"/>
      <c r="K21" s="22">
        <f>VLOOKUP(C21,'Sales Master'!B$3:AE$527,30,0)</f>
        <v>10.5</v>
      </c>
      <c r="L21" s="71">
        <f t="shared" ref="L21" si="3">K21*G21</f>
        <v>10.5</v>
      </c>
      <c r="N21" s="247">
        <f>VLOOKUP(C21,'Sales Master'!$B$3:$FA$3051,156,0)</f>
        <v>7.666666666666667</v>
      </c>
      <c r="O21" s="247">
        <f t="shared" ref="O21" si="4">K21-N21</f>
        <v>2.833333333333333</v>
      </c>
      <c r="P21" s="247">
        <f t="shared" ref="P21" si="5">O21*G21</f>
        <v>2.833333333333333</v>
      </c>
    </row>
    <row r="22" spans="2:16" ht="20.149999999999999" customHeight="1" x14ac:dyDescent="0.45">
      <c r="B22" s="21"/>
      <c r="C22" s="370"/>
      <c r="D22" s="69"/>
      <c r="E22" s="69"/>
      <c r="F22" s="69"/>
      <c r="G22" s="45"/>
      <c r="H22" s="65"/>
      <c r="I22" s="65"/>
      <c r="J22" s="65"/>
      <c r="K22" s="22"/>
      <c r="L22" s="71"/>
      <c r="N22" s="247"/>
      <c r="O22" s="247"/>
      <c r="P22" s="247"/>
    </row>
    <row r="23" spans="2:16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22"/>
      <c r="L23" s="71"/>
      <c r="N23" s="247"/>
      <c r="O23" s="247"/>
      <c r="P23" s="247"/>
    </row>
    <row r="24" spans="2:16" ht="20.149999999999999" customHeight="1" x14ac:dyDescent="0.45">
      <c r="B24" s="70"/>
      <c r="C24" s="12" t="s">
        <v>1236</v>
      </c>
      <c r="D24" s="430"/>
      <c r="E24" s="430"/>
      <c r="F24" s="430"/>
      <c r="G24" s="97"/>
      <c r="H24" s="65"/>
      <c r="I24" s="431"/>
      <c r="J24" s="431"/>
      <c r="K24" s="22"/>
      <c r="L24" s="71"/>
      <c r="N24" s="247"/>
      <c r="O24" s="247"/>
      <c r="P24" s="247"/>
    </row>
    <row r="25" spans="2:16" ht="20.149999999999999" customHeight="1" x14ac:dyDescent="0.45">
      <c r="B25" s="70"/>
      <c r="C25" s="69" t="s">
        <v>1368</v>
      </c>
      <c r="K25" s="22"/>
      <c r="L25" s="71"/>
    </row>
    <row r="26" spans="2:16" ht="20.149999999999999" customHeight="1" x14ac:dyDescent="0.45">
      <c r="B26" s="70"/>
      <c r="C26" s="69" t="s">
        <v>1367</v>
      </c>
      <c r="G26" s="45"/>
      <c r="H26" s="65"/>
      <c r="I26" s="206"/>
      <c r="J26" s="206"/>
      <c r="K26" s="22"/>
      <c r="L26" s="71"/>
    </row>
    <row r="27" spans="2:16" ht="20.149999999999999" customHeight="1" x14ac:dyDescent="0.45">
      <c r="B27" s="70"/>
      <c r="G27" s="45"/>
      <c r="H27" s="65"/>
      <c r="I27" s="431"/>
      <c r="J27" s="431"/>
      <c r="K27" s="22"/>
      <c r="L27" s="71"/>
    </row>
    <row r="28" spans="2:16" ht="20.149999999999999" customHeight="1" x14ac:dyDescent="0.45">
      <c r="B28" s="21"/>
      <c r="C28" s="140"/>
      <c r="D28" s="69"/>
      <c r="E28" s="69"/>
      <c r="F28" s="69"/>
      <c r="G28" s="45"/>
      <c r="H28" s="65"/>
      <c r="I28" s="431"/>
      <c r="J28" s="431"/>
      <c r="K28" s="22"/>
      <c r="L28" s="71"/>
    </row>
    <row r="29" spans="2:16" ht="20.149999999999999" customHeight="1" x14ac:dyDescent="0.45">
      <c r="B29" s="21"/>
      <c r="C29" s="305" t="s">
        <v>1345</v>
      </c>
      <c r="E29" s="69"/>
      <c r="F29" s="69"/>
      <c r="G29" s="99"/>
      <c r="H29" s="65"/>
      <c r="I29" s="65"/>
      <c r="J29" s="65"/>
      <c r="K29" s="22"/>
      <c r="L29" s="71"/>
    </row>
    <row r="30" spans="2:16" ht="20.149999999999999" customHeight="1" x14ac:dyDescent="0.45">
      <c r="B30" s="21"/>
      <c r="C30" s="338" t="s">
        <v>821</v>
      </c>
      <c r="D30" s="430" t="str">
        <f>VLOOKUP(C30,'Sales Master'!B$3:D$643,2,0)</f>
        <v>Mango Puree 芒果浆</v>
      </c>
      <c r="E30" s="430"/>
      <c r="F30" s="430"/>
      <c r="G30" s="99">
        <v>1</v>
      </c>
      <c r="H30" s="241" t="str">
        <f>VLOOKUP(C30,'Sales Master'!B$3:F$936,5,0)</f>
        <v>Box/盒</v>
      </c>
      <c r="I30" s="432" t="str">
        <f>VLOOKUP(C30,'Sales Master'!B$3:E$936,4,0)</f>
        <v>DO!</v>
      </c>
      <c r="J30" s="432"/>
      <c r="K30" s="22">
        <v>8</v>
      </c>
      <c r="L30" s="71"/>
    </row>
    <row r="31" spans="2:16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16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4" ht="20.149999999999999" customHeight="1" thickBot="1" x14ac:dyDescent="0.5">
      <c r="B33" s="24"/>
      <c r="C33" s="25"/>
      <c r="D33" s="473"/>
      <c r="E33" s="473"/>
      <c r="F33" s="473"/>
      <c r="G33" s="25"/>
      <c r="H33" s="66"/>
      <c r="I33" s="66"/>
      <c r="J33" s="66"/>
      <c r="K33" s="26"/>
      <c r="L33" s="27"/>
    </row>
    <row r="34" spans="2:14" ht="20.149999999999999" customHeight="1" thickBot="1" x14ac:dyDescent="0.5">
      <c r="B34" s="28"/>
      <c r="L34" s="29"/>
    </row>
    <row r="35" spans="2:14" ht="20.149999999999999" customHeight="1" x14ac:dyDescent="0.45">
      <c r="B35" s="11" t="s">
        <v>16</v>
      </c>
      <c r="C35" s="10"/>
      <c r="D35" s="10"/>
      <c r="E35" s="10"/>
      <c r="F35" s="10"/>
      <c r="G35" s="10"/>
      <c r="H35" s="10"/>
      <c r="I35" s="10"/>
      <c r="J35" s="474" t="s">
        <v>13</v>
      </c>
      <c r="K35" s="475"/>
      <c r="L35" s="30">
        <f>SUM(L15:L34)</f>
        <v>92.5</v>
      </c>
      <c r="M35" s="95">
        <f>SUM(P12:P33)-L36</f>
        <v>35.306597760551249</v>
      </c>
      <c r="N35" s="248">
        <f>M35/L35</f>
        <v>0.3816929487627162</v>
      </c>
    </row>
    <row r="36" spans="2:14" ht="20.149999999999999" customHeight="1" x14ac:dyDescent="0.45">
      <c r="B36" s="11" t="s">
        <v>17</v>
      </c>
      <c r="C36" s="10"/>
      <c r="D36" s="10"/>
      <c r="E36" s="10"/>
      <c r="F36" s="10"/>
      <c r="G36" s="10"/>
      <c r="H36" s="10"/>
      <c r="I36" s="10"/>
      <c r="J36" s="110" t="s">
        <v>553</v>
      </c>
      <c r="K36" s="113">
        <v>6.54E-2</v>
      </c>
      <c r="L36" s="32">
        <f>L38</f>
        <v>6.8518518518518521</v>
      </c>
      <c r="N36" s="248"/>
    </row>
    <row r="37" spans="2:14" ht="20.149999999999999" customHeight="1" x14ac:dyDescent="0.45">
      <c r="B37" s="11" t="s">
        <v>18</v>
      </c>
      <c r="C37" s="10"/>
      <c r="D37" s="10"/>
      <c r="E37" s="10"/>
      <c r="F37" s="10"/>
      <c r="G37" s="10"/>
      <c r="H37" s="10"/>
      <c r="I37" s="10"/>
      <c r="J37" s="476" t="s">
        <v>555</v>
      </c>
      <c r="K37" s="477"/>
      <c r="L37" s="114">
        <f>L35/108*100</f>
        <v>85.648148148148152</v>
      </c>
    </row>
    <row r="38" spans="2:14" ht="20.149999999999999" customHeight="1" x14ac:dyDescent="0.45">
      <c r="B38" s="11" t="s">
        <v>22</v>
      </c>
      <c r="C38" s="10"/>
      <c r="D38" s="10"/>
      <c r="E38" s="10"/>
      <c r="F38" s="10"/>
      <c r="G38" s="10"/>
      <c r="H38" s="10"/>
      <c r="I38" s="10"/>
      <c r="J38" s="111" t="s">
        <v>554</v>
      </c>
      <c r="K38" s="112">
        <v>0.08</v>
      </c>
      <c r="L38" s="44">
        <f>L37*K38</f>
        <v>6.8518518518518521</v>
      </c>
    </row>
    <row r="39" spans="2:14" ht="20.149999999999999" customHeight="1" thickBot="1" x14ac:dyDescent="0.5">
      <c r="B39" s="11" t="s">
        <v>748</v>
      </c>
      <c r="C39" s="10"/>
      <c r="D39" s="10"/>
      <c r="E39" s="10"/>
      <c r="F39" s="10"/>
      <c r="G39" s="10"/>
      <c r="H39" s="10"/>
      <c r="I39" s="10"/>
      <c r="J39" s="478" t="s">
        <v>21</v>
      </c>
      <c r="K39" s="479"/>
      <c r="L39" s="33">
        <f>L37+L38</f>
        <v>92.5</v>
      </c>
    </row>
    <row r="40" spans="2:14" ht="20.149999999999999" customHeight="1" x14ac:dyDescent="0.45">
      <c r="B40" s="11" t="s">
        <v>23</v>
      </c>
      <c r="C40" s="10"/>
      <c r="D40" s="10"/>
      <c r="E40" s="10"/>
      <c r="F40" s="10"/>
      <c r="G40" s="10"/>
      <c r="H40" s="10"/>
      <c r="I40" s="10"/>
      <c r="L40" s="29"/>
    </row>
    <row r="41" spans="2:14" ht="20.149999999999999" customHeight="1" x14ac:dyDescent="0.45">
      <c r="B41" s="183" t="s">
        <v>749</v>
      </c>
      <c r="L41" s="29"/>
    </row>
    <row r="42" spans="2:14" ht="20.149999999999999" customHeight="1" x14ac:dyDescent="0.45">
      <c r="B42" s="28"/>
      <c r="L42" s="29"/>
    </row>
    <row r="43" spans="2:14" ht="20.149999999999999" customHeight="1" x14ac:dyDescent="0.45">
      <c r="B43" s="28"/>
      <c r="L43" s="29"/>
    </row>
    <row r="44" spans="2:14" ht="20.149999999999999" customHeight="1" x14ac:dyDescent="0.45">
      <c r="B44" s="28"/>
      <c r="L44" s="29"/>
    </row>
    <row r="45" spans="2:14" ht="20.149999999999999" customHeight="1" x14ac:dyDescent="0.45">
      <c r="B45" s="34"/>
      <c r="C45" s="35"/>
      <c r="D45" s="35"/>
      <c r="J45" s="35"/>
      <c r="K45" s="35"/>
      <c r="L45" s="36"/>
    </row>
    <row r="46" spans="2:14" ht="20.149999999999999" customHeight="1" x14ac:dyDescent="0.45">
      <c r="B46" s="28" t="s">
        <v>24</v>
      </c>
      <c r="J46" s="60" t="s">
        <v>25</v>
      </c>
      <c r="L46" s="29"/>
    </row>
    <row r="47" spans="2:14" ht="19" thickBot="1" x14ac:dyDescent="0.5">
      <c r="B47" s="37"/>
      <c r="C47" s="62"/>
      <c r="D47" s="62"/>
      <c r="E47" s="62"/>
      <c r="F47" s="62"/>
      <c r="G47" s="62"/>
      <c r="H47" s="62"/>
      <c r="I47" s="62"/>
      <c r="J47" s="62"/>
      <c r="K47" s="62"/>
      <c r="L47" s="38"/>
    </row>
  </sheetData>
  <mergeCells count="37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8:F18"/>
    <mergeCell ref="I18:J18"/>
    <mergeCell ref="I19:J19"/>
    <mergeCell ref="D19:F19"/>
    <mergeCell ref="I27:J27"/>
    <mergeCell ref="I28:J28"/>
    <mergeCell ref="D30:F30"/>
    <mergeCell ref="I30:J30"/>
    <mergeCell ref="I20:J20"/>
    <mergeCell ref="I23:J23"/>
    <mergeCell ref="D24:F24"/>
    <mergeCell ref="I24:J24"/>
    <mergeCell ref="D20:F20"/>
    <mergeCell ref="D23:F23"/>
    <mergeCell ref="D21:F21"/>
    <mergeCell ref="I21:J21"/>
    <mergeCell ref="J37:K37"/>
    <mergeCell ref="J39:K39"/>
    <mergeCell ref="D31:F31"/>
    <mergeCell ref="D32:F32"/>
    <mergeCell ref="D33:F33"/>
    <mergeCell ref="J35:K35"/>
  </mergeCells>
  <conditionalFormatting sqref="C29">
    <cfRule type="duplicateValues" dxfId="5" priority="1"/>
  </conditionalFormatting>
  <conditionalFormatting sqref="C30">
    <cfRule type="duplicateValues" dxfId="4" priority="2"/>
  </conditionalFormatting>
  <pageMargins left="0.70866141732283505" right="0.31496062992126" top="0.55118110236220497" bottom="0" header="0.31496062992126" footer="0.31496062992126"/>
  <pageSetup paperSize="9" scale="76" fitToHeight="0" orientation="portrait" horizontalDpi="300" verticalDpi="30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134955-733F-4DF5-9970-7B1C794B2CF0}">
  <sheetPr codeName="Sheet53">
    <tabColor rgb="FF92D050"/>
    <pageSetUpPr fitToPage="1"/>
  </sheetPr>
  <dimension ref="B1:V49"/>
  <sheetViews>
    <sheetView zoomScaleNormal="100" workbookViewId="0">
      <selection activeCell="B1" sqref="B1:L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610</v>
      </c>
      <c r="J10" s="17" t="s">
        <v>26</v>
      </c>
      <c r="K10" s="455">
        <v>202005249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>
        <f>VLOOKUP(H10,'Delivery Location'!A$4:N$423,2,0)</f>
        <v>0</v>
      </c>
      <c r="G11" s="445"/>
      <c r="H11" s="446"/>
      <c r="J11" s="18" t="s">
        <v>9</v>
      </c>
      <c r="K11" s="502" t="s">
        <v>612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22" ht="20.149999999999999" customHeight="1" x14ac:dyDescent="0.45">
      <c r="B18" s="21"/>
      <c r="C18" s="45" t="s">
        <v>1059</v>
      </c>
      <c r="D18" s="430" t="e">
        <f>VLOOKUP(C18,'Sales Master'!B$3:D$316,2,0)</f>
        <v>#N/A</v>
      </c>
      <c r="E18" s="430"/>
      <c r="F18" s="430"/>
      <c r="G18" s="45">
        <v>2</v>
      </c>
      <c r="H18" s="65" t="str">
        <f>VLOOKUP(C18,'Sales Master'!B$3:F$936,5,0)</f>
        <v>(1L x 12bag)/箱</v>
      </c>
      <c r="I18" s="431" t="str">
        <f>VLOOKUP(C18,'Sales Master'!B$3:E$936,4,0)</f>
        <v>Kara UHT</v>
      </c>
      <c r="J18" s="431"/>
      <c r="K18" s="22">
        <f>VLOOKUP(C18,'Sales Master'!$B$3:$DF$3213,109,0)</f>
        <v>42</v>
      </c>
      <c r="L18" s="23">
        <f>K18*G18</f>
        <v>84</v>
      </c>
      <c r="N18" s="94" t="s">
        <v>343</v>
      </c>
      <c r="O18" s="94" t="s">
        <v>559</v>
      </c>
      <c r="P18" s="94"/>
      <c r="Q18" s="94"/>
      <c r="R18" s="116">
        <v>6</v>
      </c>
      <c r="S18" s="94" t="s">
        <v>385</v>
      </c>
      <c r="T18" s="60" t="s">
        <v>59</v>
      </c>
      <c r="V18" s="60">
        <v>24</v>
      </c>
    </row>
    <row r="19" spans="2:22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23"/>
      <c r="N19" s="94" t="s">
        <v>289</v>
      </c>
      <c r="O19" s="94" t="s">
        <v>189</v>
      </c>
      <c r="P19" s="94"/>
      <c r="Q19" s="94"/>
      <c r="R19" s="94">
        <v>1</v>
      </c>
      <c r="S19" s="94" t="s">
        <v>48</v>
      </c>
    </row>
    <row r="20" spans="2:22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22"/>
      <c r="L20" s="23"/>
      <c r="N20" s="60" t="s">
        <v>265</v>
      </c>
      <c r="O20" s="60" t="s">
        <v>170</v>
      </c>
      <c r="R20" s="60">
        <v>1</v>
      </c>
      <c r="S20" s="60" t="s">
        <v>399</v>
      </c>
      <c r="T20" s="60" t="s">
        <v>326</v>
      </c>
      <c r="V20" s="60">
        <v>24</v>
      </c>
    </row>
    <row r="21" spans="2:22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23"/>
    </row>
    <row r="22" spans="2:22" ht="20.149999999999999" customHeight="1" x14ac:dyDescent="0.45">
      <c r="B22" s="70"/>
      <c r="C22" s="45"/>
      <c r="D22" s="430"/>
      <c r="E22" s="430"/>
      <c r="F22" s="430"/>
      <c r="G22" s="45"/>
      <c r="H22" s="65"/>
      <c r="I22" s="431"/>
      <c r="J22" s="431"/>
      <c r="K22" s="22"/>
      <c r="L22" s="23"/>
    </row>
    <row r="23" spans="2:22" ht="20.149999999999999" customHeight="1" x14ac:dyDescent="0.45">
      <c r="B23" s="70"/>
      <c r="C23" s="45"/>
      <c r="D23" s="69"/>
      <c r="E23" s="69"/>
      <c r="F23" s="69"/>
      <c r="G23" s="45"/>
      <c r="H23" s="65"/>
      <c r="I23" s="431"/>
      <c r="J23" s="431"/>
      <c r="K23" s="22"/>
      <c r="L23" s="71"/>
    </row>
    <row r="24" spans="2:22" ht="20.149999999999999" customHeight="1" x14ac:dyDescent="0.45">
      <c r="B24" s="70"/>
      <c r="C24" s="45"/>
      <c r="D24" s="69"/>
      <c r="E24" s="69"/>
      <c r="F24" s="69"/>
      <c r="G24" s="45"/>
      <c r="H24" s="65"/>
      <c r="I24" s="431"/>
      <c r="J24" s="431"/>
      <c r="K24" s="22"/>
      <c r="L24" s="71"/>
    </row>
    <row r="25" spans="2:22" ht="20.149999999999999" customHeight="1" x14ac:dyDescent="0.45">
      <c r="B25" s="70"/>
      <c r="C25" s="45"/>
      <c r="D25" s="69"/>
      <c r="E25" s="69"/>
      <c r="F25" s="69"/>
      <c r="G25" s="45"/>
      <c r="H25" s="65"/>
      <c r="I25" s="431"/>
      <c r="J25" s="431"/>
      <c r="K25" s="22"/>
      <c r="L25" s="71"/>
    </row>
    <row r="26" spans="2:22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22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22" ht="20.149999999999999" customHeight="1" x14ac:dyDescent="0.45">
      <c r="B28" s="21"/>
      <c r="C28" s="45"/>
      <c r="D28" s="503"/>
      <c r="E28" s="503"/>
      <c r="F28" s="503"/>
      <c r="G28" s="45"/>
      <c r="H28" s="65"/>
      <c r="I28" s="431"/>
      <c r="J28" s="431"/>
      <c r="K28" s="22"/>
      <c r="L28" s="23"/>
    </row>
    <row r="29" spans="2:22" ht="20.149999999999999" customHeight="1" x14ac:dyDescent="0.45">
      <c r="B29" s="21"/>
      <c r="C29" s="45"/>
      <c r="D29" s="503"/>
      <c r="E29" s="503"/>
      <c r="F29" s="503"/>
      <c r="G29" s="45"/>
      <c r="H29" s="65"/>
      <c r="I29" s="431"/>
      <c r="J29" s="431"/>
      <c r="K29" s="22"/>
      <c r="L29" s="23"/>
    </row>
    <row r="30" spans="2:22" ht="20.149999999999999" customHeight="1" x14ac:dyDescent="0.45">
      <c r="B30" s="21"/>
      <c r="C30" s="45"/>
      <c r="D30" s="503"/>
      <c r="E30" s="503"/>
      <c r="F30" s="503"/>
      <c r="G30" s="45"/>
      <c r="H30" s="65"/>
      <c r="I30" s="431"/>
      <c r="J30" s="431"/>
      <c r="K30" s="22"/>
      <c r="L30" s="23"/>
    </row>
    <row r="31" spans="2:22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22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473"/>
      <c r="E35" s="473"/>
      <c r="F35" s="473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474" t="s">
        <v>13</v>
      </c>
      <c r="K37" s="475"/>
      <c r="L37" s="30">
        <f>SUM(L16:L36)</f>
        <v>84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0" t="s">
        <v>553</v>
      </c>
      <c r="K38" s="113">
        <v>6.54E-2</v>
      </c>
      <c r="L38" s="32">
        <f>L40</f>
        <v>5.4953271028037385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476" t="s">
        <v>555</v>
      </c>
      <c r="K39" s="477"/>
      <c r="L39" s="114">
        <f>L37/107*100</f>
        <v>78.504672897196258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1" t="s">
        <v>554</v>
      </c>
      <c r="K40" s="112">
        <v>7.0000000000000007E-2</v>
      </c>
      <c r="L40" s="44">
        <f>L39*K40</f>
        <v>5.4953271028037385</v>
      </c>
    </row>
    <row r="41" spans="2:12" ht="20.149999999999999" customHeight="1" thickBot="1" x14ac:dyDescent="0.5">
      <c r="B41" s="11" t="s">
        <v>748</v>
      </c>
      <c r="C41" s="10"/>
      <c r="D41" s="10"/>
      <c r="E41" s="10"/>
      <c r="F41" s="10"/>
      <c r="G41" s="10"/>
      <c r="H41" s="10"/>
      <c r="I41" s="10"/>
      <c r="J41" s="478" t="s">
        <v>21</v>
      </c>
      <c r="K41" s="479"/>
      <c r="L41" s="33">
        <f>L39+L40</f>
        <v>84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83" t="s">
        <v>749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6">
    <mergeCell ref="J41:K41"/>
    <mergeCell ref="D29:F29"/>
    <mergeCell ref="I29:J29"/>
    <mergeCell ref="D30:F30"/>
    <mergeCell ref="I30:J30"/>
    <mergeCell ref="D31:F31"/>
    <mergeCell ref="D32:F32"/>
    <mergeCell ref="D33:F33"/>
    <mergeCell ref="D34:F34"/>
    <mergeCell ref="D35:F35"/>
    <mergeCell ref="J37:K37"/>
    <mergeCell ref="J39:K39"/>
    <mergeCell ref="D28:F28"/>
    <mergeCell ref="I28:J28"/>
    <mergeCell ref="D21:F21"/>
    <mergeCell ref="I21:J21"/>
    <mergeCell ref="D22:F22"/>
    <mergeCell ref="I22:J22"/>
    <mergeCell ref="I23:J23"/>
    <mergeCell ref="I24:J24"/>
    <mergeCell ref="I25:J25"/>
    <mergeCell ref="D26:F26"/>
    <mergeCell ref="I26:J26"/>
    <mergeCell ref="D27:F27"/>
    <mergeCell ref="I27:J27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5118110236220474" bottom="0" header="0.31496062992125984" footer="0.31496062992125984"/>
  <pageSetup paperSize="9" scale="74" fitToHeight="0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26749-C45B-4C45-984B-DBB1CB8DA256}">
  <sheetPr codeName="Sheet54">
    <tabColor rgb="FF0070C0"/>
    <pageSetUpPr fitToPage="1"/>
  </sheetPr>
  <dimension ref="B1:V49"/>
  <sheetViews>
    <sheetView zoomScaleNormal="100" workbookViewId="0">
      <selection activeCell="B1" sqref="B1:L8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1.816406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717</v>
      </c>
      <c r="J10" s="17" t="s">
        <v>26</v>
      </c>
      <c r="K10" s="455">
        <v>202011059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Siang Kee Traditional Crytal Pau        Blk 44, Owen Road #01-315 Singapore 210044</v>
      </c>
      <c r="G11" s="445"/>
      <c r="H11" s="446"/>
      <c r="J11" s="18" t="s">
        <v>9</v>
      </c>
      <c r="K11" s="502">
        <v>43932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22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22" ht="20.149999999999999" customHeight="1" x14ac:dyDescent="0.45">
      <c r="B18" s="177"/>
      <c r="C18" s="45" t="s">
        <v>295</v>
      </c>
      <c r="D18" s="430" t="e">
        <f>VLOOKUP(C18,'Sales Master'!B$3:D$665,2,0)</f>
        <v>#N/A</v>
      </c>
      <c r="E18" s="430"/>
      <c r="F18" s="430"/>
      <c r="G18" s="45">
        <v>10</v>
      </c>
      <c r="H18" s="65" t="e">
        <f>VLOOKUP(C18,'Sales Master'!B$3:F$936,5,0)</f>
        <v>#N/A</v>
      </c>
      <c r="I18" s="431" t="e">
        <f>VLOOKUP(C18,'Sales Master'!B$3:E$936,4,0)</f>
        <v>#N/A</v>
      </c>
      <c r="J18" s="431"/>
      <c r="K18" s="22" t="e">
        <f>VLOOKUP(C18,'Sales Master'!$B$3:$DX$3213,127,0)</f>
        <v>#N/A</v>
      </c>
      <c r="L18" s="23" t="e">
        <f>K18*G18</f>
        <v>#N/A</v>
      </c>
      <c r="N18" s="94" t="s">
        <v>343</v>
      </c>
      <c r="O18" s="94" t="s">
        <v>559</v>
      </c>
      <c r="P18" s="94"/>
      <c r="Q18" s="94"/>
      <c r="R18" s="116">
        <v>6</v>
      </c>
      <c r="S18" s="94" t="s">
        <v>385</v>
      </c>
      <c r="T18" s="60" t="s">
        <v>59</v>
      </c>
      <c r="V18" s="60">
        <v>24</v>
      </c>
    </row>
    <row r="19" spans="2:22" ht="20.149999999999999" customHeight="1" x14ac:dyDescent="0.45">
      <c r="B19" s="177"/>
      <c r="C19" s="45" t="s">
        <v>297</v>
      </c>
      <c r="D19" s="430" t="e">
        <f>VLOOKUP(C19,'Sales Master'!B$3:D$665,2,0)</f>
        <v>#N/A</v>
      </c>
      <c r="E19" s="430"/>
      <c r="F19" s="430"/>
      <c r="G19" s="45">
        <v>10</v>
      </c>
      <c r="H19" s="65" t="e">
        <f>VLOOKUP(C19,'Sales Master'!B$3:F$936,5,0)</f>
        <v>#N/A</v>
      </c>
      <c r="I19" s="431" t="e">
        <f>VLOOKUP(C19,'Sales Master'!B$3:E$936,4,0)</f>
        <v>#N/A</v>
      </c>
      <c r="J19" s="431"/>
      <c r="K19" s="22" t="e">
        <f>VLOOKUP(C19,'Sales Master'!$B$3:$DX$3213,127,0)</f>
        <v>#N/A</v>
      </c>
      <c r="L19" s="23" t="e">
        <f>K19*G19</f>
        <v>#N/A</v>
      </c>
      <c r="N19" s="94" t="s">
        <v>289</v>
      </c>
      <c r="O19" s="94" t="s">
        <v>189</v>
      </c>
      <c r="P19" s="94"/>
      <c r="Q19" s="94"/>
      <c r="R19" s="94">
        <v>1</v>
      </c>
      <c r="S19" s="94" t="s">
        <v>48</v>
      </c>
    </row>
    <row r="20" spans="2:22" ht="20.149999999999999" customHeight="1" x14ac:dyDescent="0.45">
      <c r="B20" s="177"/>
      <c r="C20" s="45" t="s">
        <v>298</v>
      </c>
      <c r="D20" s="430" t="e">
        <f>VLOOKUP(C20,'Sales Master'!B$3:D$665,2,0)</f>
        <v>#N/A</v>
      </c>
      <c r="E20" s="430"/>
      <c r="F20" s="430"/>
      <c r="G20" s="45">
        <v>10</v>
      </c>
      <c r="H20" s="65" t="e">
        <f>VLOOKUP(C20,'Sales Master'!B$3:F$936,5,0)</f>
        <v>#N/A</v>
      </c>
      <c r="I20" s="431" t="e">
        <f>VLOOKUP(C20,'Sales Master'!B$3:E$936,4,0)</f>
        <v>#N/A</v>
      </c>
      <c r="J20" s="431"/>
      <c r="K20" s="22" t="e">
        <f>VLOOKUP(C20,'Sales Master'!$B$3:$DX$3213,127,0)</f>
        <v>#N/A</v>
      </c>
      <c r="L20" s="23" t="e">
        <f>K20*G20</f>
        <v>#N/A</v>
      </c>
      <c r="N20" s="60" t="s">
        <v>265</v>
      </c>
      <c r="O20" s="60" t="s">
        <v>170</v>
      </c>
      <c r="R20" s="60">
        <v>1</v>
      </c>
      <c r="S20" s="60" t="s">
        <v>399</v>
      </c>
      <c r="T20" s="60" t="s">
        <v>326</v>
      </c>
      <c r="V20" s="60">
        <v>24</v>
      </c>
    </row>
    <row r="21" spans="2:22" ht="20.149999999999999" customHeight="1" x14ac:dyDescent="0.45">
      <c r="B21" s="177"/>
      <c r="C21" s="45"/>
      <c r="D21" s="430"/>
      <c r="E21" s="430"/>
      <c r="F21" s="430"/>
      <c r="G21" s="45"/>
      <c r="H21" s="65"/>
      <c r="I21" s="431"/>
      <c r="J21" s="431"/>
      <c r="K21" s="22"/>
      <c r="L21" s="23"/>
    </row>
    <row r="22" spans="2:22" ht="20.149999999999999" customHeight="1" x14ac:dyDescent="0.45">
      <c r="B22" s="177"/>
      <c r="C22" s="45"/>
      <c r="D22" s="430"/>
      <c r="E22" s="430"/>
      <c r="F22" s="430"/>
      <c r="G22" s="45"/>
      <c r="H22" s="65"/>
      <c r="I22" s="431"/>
      <c r="J22" s="431"/>
      <c r="K22" s="22"/>
      <c r="L22" s="23"/>
    </row>
    <row r="23" spans="2:22" ht="20.149999999999999" customHeight="1" x14ac:dyDescent="0.45">
      <c r="B23" s="70"/>
      <c r="C23" s="172" t="s">
        <v>618</v>
      </c>
      <c r="G23" s="45"/>
      <c r="H23" s="65"/>
      <c r="I23" s="431"/>
      <c r="J23" s="431"/>
      <c r="K23" s="22"/>
      <c r="L23" s="23"/>
    </row>
    <row r="24" spans="2:22" ht="20.149999999999999" customHeight="1" x14ac:dyDescent="0.45">
      <c r="B24" s="70"/>
      <c r="C24" s="45"/>
      <c r="D24" s="430"/>
      <c r="E24" s="430"/>
      <c r="F24" s="430"/>
      <c r="G24" s="45"/>
      <c r="H24" s="65"/>
      <c r="I24" s="431"/>
      <c r="J24" s="431"/>
      <c r="K24" s="22"/>
      <c r="L24" s="23"/>
    </row>
    <row r="25" spans="2:22" ht="20.149999999999999" customHeight="1" x14ac:dyDescent="0.45">
      <c r="B25" s="70"/>
      <c r="C25" s="45"/>
      <c r="D25" s="69"/>
      <c r="E25" s="69"/>
      <c r="F25" s="69"/>
      <c r="G25" s="45"/>
      <c r="H25" s="65"/>
      <c r="I25" s="431"/>
      <c r="J25" s="431"/>
      <c r="K25" s="22"/>
      <c r="L25" s="71"/>
    </row>
    <row r="26" spans="2:22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22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71"/>
    </row>
    <row r="28" spans="2:22" ht="20.149999999999999" customHeight="1" x14ac:dyDescent="0.45">
      <c r="B28" s="21"/>
      <c r="C28" s="45"/>
      <c r="D28" s="503"/>
      <c r="E28" s="503"/>
      <c r="F28" s="503"/>
      <c r="G28" s="45"/>
      <c r="H28" s="65"/>
      <c r="I28" s="431"/>
      <c r="J28" s="431"/>
      <c r="K28" s="22"/>
      <c r="L28" s="23"/>
    </row>
    <row r="29" spans="2:22" ht="20.149999999999999" customHeight="1" x14ac:dyDescent="0.45">
      <c r="B29" s="21"/>
      <c r="C29" s="45"/>
      <c r="D29" s="503"/>
      <c r="E29" s="503"/>
      <c r="F29" s="503"/>
      <c r="G29" s="45"/>
      <c r="H29" s="65"/>
      <c r="I29" s="431"/>
      <c r="J29" s="431"/>
      <c r="K29" s="22"/>
      <c r="L29" s="23"/>
    </row>
    <row r="30" spans="2:22" ht="20.149999999999999" customHeight="1" x14ac:dyDescent="0.45">
      <c r="B30" s="21"/>
      <c r="C30" s="45"/>
      <c r="D30" s="503"/>
      <c r="E30" s="503"/>
      <c r="F30" s="503"/>
      <c r="G30" s="45"/>
      <c r="H30" s="65"/>
      <c r="I30" s="431"/>
      <c r="J30" s="431"/>
      <c r="K30" s="22"/>
      <c r="L30" s="23"/>
    </row>
    <row r="31" spans="2:22" ht="20.149999999999999" customHeight="1" x14ac:dyDescent="0.45">
      <c r="B31" s="21"/>
      <c r="C31" s="45"/>
      <c r="D31" s="503"/>
      <c r="E31" s="503"/>
      <c r="F31" s="503"/>
      <c r="G31" s="45"/>
      <c r="H31" s="65"/>
      <c r="I31" s="65"/>
      <c r="J31" s="65"/>
      <c r="K31" s="22"/>
      <c r="L31" s="23"/>
    </row>
    <row r="32" spans="2:22" ht="20.149999999999999" customHeight="1" x14ac:dyDescent="0.45">
      <c r="B32" s="21"/>
      <c r="C32" s="45"/>
      <c r="D32" s="503"/>
      <c r="E32" s="503"/>
      <c r="F32" s="503"/>
      <c r="G32" s="45"/>
      <c r="H32" s="65"/>
      <c r="I32" s="65"/>
      <c r="J32" s="65"/>
      <c r="K32" s="22"/>
      <c r="L32" s="23"/>
    </row>
    <row r="33" spans="2:12" ht="20.149999999999999" customHeight="1" x14ac:dyDescent="0.45">
      <c r="B33" s="21"/>
      <c r="C33" s="45"/>
      <c r="D33" s="503"/>
      <c r="E33" s="503"/>
      <c r="F33" s="503"/>
      <c r="G33" s="45"/>
      <c r="H33" s="65"/>
      <c r="I33" s="65"/>
      <c r="J33" s="65"/>
      <c r="K33" s="22"/>
      <c r="L33" s="23"/>
    </row>
    <row r="34" spans="2:12" ht="20.149999999999999" customHeight="1" x14ac:dyDescent="0.45">
      <c r="B34" s="21"/>
      <c r="C34" s="45"/>
      <c r="D34" s="503"/>
      <c r="E34" s="503"/>
      <c r="F34" s="503"/>
      <c r="G34" s="45"/>
      <c r="H34" s="65"/>
      <c r="I34" s="65"/>
      <c r="J34" s="65"/>
      <c r="K34" s="22"/>
      <c r="L34" s="23"/>
    </row>
    <row r="35" spans="2:12" ht="20.149999999999999" customHeight="1" thickBot="1" x14ac:dyDescent="0.5">
      <c r="B35" s="24"/>
      <c r="C35" s="25"/>
      <c r="D35" s="473"/>
      <c r="E35" s="473"/>
      <c r="F35" s="473"/>
      <c r="G35" s="25"/>
      <c r="H35" s="66"/>
      <c r="I35" s="66"/>
      <c r="J35" s="66"/>
      <c r="K35" s="26"/>
      <c r="L35" s="27"/>
    </row>
    <row r="36" spans="2:12" ht="20.149999999999999" customHeight="1" thickBot="1" x14ac:dyDescent="0.5">
      <c r="B36" s="28"/>
      <c r="L36" s="29"/>
    </row>
    <row r="37" spans="2:12" ht="20.149999999999999" customHeight="1" x14ac:dyDescent="0.45">
      <c r="B37" s="11" t="s">
        <v>16</v>
      </c>
      <c r="C37" s="10"/>
      <c r="D37" s="10"/>
      <c r="E37" s="10"/>
      <c r="F37" s="10"/>
      <c r="G37" s="10"/>
      <c r="H37" s="10"/>
      <c r="I37" s="10"/>
      <c r="J37" s="474" t="s">
        <v>13</v>
      </c>
      <c r="K37" s="475"/>
      <c r="L37" s="30" t="e">
        <f>SUM(L16:L36)</f>
        <v>#N/A</v>
      </c>
    </row>
    <row r="38" spans="2:12" ht="20.149999999999999" customHeight="1" x14ac:dyDescent="0.45">
      <c r="B38" s="11" t="s">
        <v>17</v>
      </c>
      <c r="C38" s="10"/>
      <c r="D38" s="10"/>
      <c r="E38" s="10"/>
      <c r="F38" s="10"/>
      <c r="G38" s="10"/>
      <c r="H38" s="10"/>
      <c r="I38" s="10"/>
      <c r="J38" s="110" t="s">
        <v>553</v>
      </c>
      <c r="K38" s="113">
        <v>6.54E-2</v>
      </c>
      <c r="L38" s="32" t="e">
        <f>L40</f>
        <v>#N/A</v>
      </c>
    </row>
    <row r="39" spans="2:12" ht="20.149999999999999" customHeight="1" x14ac:dyDescent="0.45">
      <c r="B39" s="11" t="s">
        <v>18</v>
      </c>
      <c r="C39" s="10"/>
      <c r="D39" s="10"/>
      <c r="E39" s="10"/>
      <c r="F39" s="10"/>
      <c r="G39" s="10"/>
      <c r="H39" s="10"/>
      <c r="I39" s="10"/>
      <c r="J39" s="476" t="s">
        <v>555</v>
      </c>
      <c r="K39" s="477"/>
      <c r="L39" s="114" t="e">
        <f>L37/107*100</f>
        <v>#N/A</v>
      </c>
    </row>
    <row r="40" spans="2:12" ht="20.149999999999999" customHeight="1" x14ac:dyDescent="0.45">
      <c r="B40" s="11" t="s">
        <v>22</v>
      </c>
      <c r="C40" s="10"/>
      <c r="D40" s="10"/>
      <c r="E40" s="10"/>
      <c r="F40" s="10"/>
      <c r="G40" s="10"/>
      <c r="H40" s="10"/>
      <c r="I40" s="10"/>
      <c r="J40" s="111" t="s">
        <v>554</v>
      </c>
      <c r="K40" s="112">
        <v>7.0000000000000007E-2</v>
      </c>
      <c r="L40" s="44" t="e">
        <f>L39*K40</f>
        <v>#N/A</v>
      </c>
    </row>
    <row r="41" spans="2:12" ht="20.149999999999999" customHeight="1" thickBot="1" x14ac:dyDescent="0.5">
      <c r="B41" s="11" t="s">
        <v>748</v>
      </c>
      <c r="C41" s="10"/>
      <c r="D41" s="10"/>
      <c r="E41" s="10"/>
      <c r="F41" s="10"/>
      <c r="G41" s="10"/>
      <c r="H41" s="10"/>
      <c r="I41" s="10"/>
      <c r="J41" s="478" t="s">
        <v>21</v>
      </c>
      <c r="K41" s="479"/>
      <c r="L41" s="33" t="e">
        <f>L39+L40</f>
        <v>#N/A</v>
      </c>
    </row>
    <row r="42" spans="2:12" ht="20.149999999999999" customHeight="1" x14ac:dyDescent="0.45">
      <c r="B42" s="11" t="s">
        <v>23</v>
      </c>
      <c r="C42" s="10"/>
      <c r="D42" s="10"/>
      <c r="E42" s="10"/>
      <c r="F42" s="10"/>
      <c r="G42" s="10"/>
      <c r="H42" s="10"/>
      <c r="I42" s="10"/>
      <c r="L42" s="29"/>
    </row>
    <row r="43" spans="2:12" ht="20.149999999999999" customHeight="1" x14ac:dyDescent="0.45">
      <c r="B43" s="183" t="s">
        <v>749</v>
      </c>
      <c r="L43" s="29"/>
    </row>
    <row r="44" spans="2:12" ht="20.149999999999999" customHeight="1" x14ac:dyDescent="0.45">
      <c r="B44" s="28"/>
      <c r="L44" s="29"/>
    </row>
    <row r="45" spans="2:12" ht="20.149999999999999" customHeight="1" x14ac:dyDescent="0.45">
      <c r="B45" s="28"/>
      <c r="L45" s="29"/>
    </row>
    <row r="46" spans="2:12" ht="20.149999999999999" customHeight="1" x14ac:dyDescent="0.45">
      <c r="B46" s="28"/>
      <c r="L46" s="29"/>
    </row>
    <row r="47" spans="2:12" ht="20.149999999999999" customHeight="1" x14ac:dyDescent="0.45">
      <c r="B47" s="34"/>
      <c r="C47" s="35"/>
      <c r="D47" s="35"/>
      <c r="J47" s="35"/>
      <c r="K47" s="35"/>
      <c r="L47" s="36"/>
    </row>
    <row r="48" spans="2:12" ht="20.149999999999999" customHeight="1" x14ac:dyDescent="0.45">
      <c r="B48" s="28" t="s">
        <v>24</v>
      </c>
      <c r="J48" s="60" t="s">
        <v>25</v>
      </c>
      <c r="L48" s="29"/>
    </row>
    <row r="49" spans="2:12" ht="19" thickBot="1" x14ac:dyDescent="0.5">
      <c r="B49" s="37"/>
      <c r="C49" s="62"/>
      <c r="D49" s="62"/>
      <c r="E49" s="62"/>
      <c r="F49" s="62"/>
      <c r="G49" s="62"/>
      <c r="H49" s="62"/>
      <c r="I49" s="62"/>
      <c r="J49" s="62"/>
      <c r="K49" s="62"/>
      <c r="L49" s="38"/>
    </row>
  </sheetData>
  <mergeCells count="4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8:F28"/>
    <mergeCell ref="I28:J28"/>
    <mergeCell ref="D22:F22"/>
    <mergeCell ref="I22:J22"/>
    <mergeCell ref="I23:J23"/>
    <mergeCell ref="D24:F24"/>
    <mergeCell ref="I24:J24"/>
    <mergeCell ref="I25:J25"/>
    <mergeCell ref="D26:F26"/>
    <mergeCell ref="I26:J26"/>
    <mergeCell ref="D27:F27"/>
    <mergeCell ref="I27:J27"/>
    <mergeCell ref="J41:K41"/>
    <mergeCell ref="D29:F29"/>
    <mergeCell ref="I29:J29"/>
    <mergeCell ref="D30:F30"/>
    <mergeCell ref="I30:J30"/>
    <mergeCell ref="D31:F31"/>
    <mergeCell ref="D32:F32"/>
    <mergeCell ref="D33:F33"/>
    <mergeCell ref="D34:F34"/>
    <mergeCell ref="D35:F35"/>
    <mergeCell ref="J37:K37"/>
    <mergeCell ref="J39:K39"/>
  </mergeCells>
  <pageMargins left="0.70866141732283472" right="0.31496062992125984" top="0.55118110236220474" bottom="0" header="0.31496062992125984" footer="0.31496062992125984"/>
  <pageSetup paperSize="9" scale="74" fitToHeight="0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151497-7E27-4AEB-B57D-FA2C0BD9C562}">
  <sheetPr codeName="Sheet76">
    <tabColor rgb="FF92D050"/>
    <pageSetUpPr fitToPage="1"/>
  </sheetPr>
  <dimension ref="B1:O42"/>
  <sheetViews>
    <sheetView topLeftCell="A3" workbookViewId="0">
      <selection activeCell="F16" sqref="F16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3.54296875" style="60" customWidth="1"/>
    <col min="6" max="6" width="14.54296875" style="60" customWidth="1"/>
    <col min="7" max="7" width="8.54296875" style="60" customWidth="1"/>
    <col min="8" max="8" width="15.54296875" style="60" customWidth="1"/>
    <col min="9" max="9" width="2.2695312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21" customHeight="1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485</v>
      </c>
      <c r="J10" s="17" t="s">
        <v>26</v>
      </c>
      <c r="K10" s="455">
        <v>202110408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 xml:space="preserve">645T Cup Cafe                                       Blk 16 Bedok South Road #01-06 Singapore 460016                   </v>
      </c>
      <c r="G11" s="445"/>
      <c r="H11" s="446"/>
      <c r="J11" s="18" t="s">
        <v>9</v>
      </c>
      <c r="K11" s="502" t="s">
        <v>1204</v>
      </c>
      <c r="L11" s="466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83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63"/>
      <c r="C15" s="64"/>
      <c r="D15" s="5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862</v>
      </c>
      <c r="D18" s="430" t="str">
        <f>VLOOKUP(C18,'Sales Master'!B$3:D$316,2,0)</f>
        <v>Fresh Soursop Seedless 红毛榴莲(无)</v>
      </c>
      <c r="E18" s="430"/>
      <c r="F18" s="430"/>
      <c r="G18" s="45">
        <v>5</v>
      </c>
      <c r="H18" s="65" t="str">
        <f>VLOOKUP(C18,'Sales Master'!B$3:F$936,5,0)</f>
        <v>Box/盒</v>
      </c>
      <c r="I18" s="431" t="str">
        <f>VLOOKUP(C18,'Sales Master'!B$3:E$936,4,0)</f>
        <v>DO!</v>
      </c>
      <c r="J18" s="431"/>
      <c r="K18" s="22">
        <f>VLOOKUP(C18,'Sales Master'!B$3:AC$536,28,0)</f>
        <v>8</v>
      </c>
      <c r="L18" s="23">
        <f>K18*G18</f>
        <v>40</v>
      </c>
    </row>
    <row r="19" spans="2:15" ht="20.149999999999999" customHeight="1" x14ac:dyDescent="0.45">
      <c r="B19" s="21"/>
      <c r="C19" s="45" t="s">
        <v>851</v>
      </c>
      <c r="D19" s="430" t="str">
        <f>VLOOKUP(C19,'Sales Master'!B$3:D$316,2,0)</f>
        <v>Honey Pearl - Black 蜜糖珍珠-黑</v>
      </c>
      <c r="E19" s="430"/>
      <c r="F19" s="430"/>
      <c r="G19" s="45">
        <v>4</v>
      </c>
      <c r="H19" s="65" t="str">
        <f>VLOOKUP(C19,'Sales Master'!B$3:F$936,5,0)</f>
        <v>1 kg/Bag</v>
      </c>
      <c r="I19" s="431" t="str">
        <f>VLOOKUP(C19,'Sales Master'!B$3:E$936,4,0)</f>
        <v>-</v>
      </c>
      <c r="J19" s="431"/>
      <c r="K19" s="22">
        <f>VLOOKUP(C19,'Sales Master'!B$3:AC$536,28,0)</f>
        <v>7.5</v>
      </c>
      <c r="L19" s="23">
        <f>K19*G19</f>
        <v>30</v>
      </c>
    </row>
    <row r="20" spans="2:15" ht="20.149999999999999" customHeight="1" x14ac:dyDescent="0.45">
      <c r="B20" s="21"/>
      <c r="C20" s="45"/>
      <c r="D20" s="430"/>
      <c r="E20" s="430"/>
      <c r="F20" s="430"/>
      <c r="G20" s="45"/>
      <c r="H20" s="65"/>
      <c r="I20" s="206"/>
      <c r="J20" s="206"/>
      <c r="K20" s="96"/>
      <c r="L20" s="131"/>
    </row>
    <row r="21" spans="2:15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96"/>
      <c r="L21" s="131"/>
    </row>
    <row r="22" spans="2:15" ht="20.149999999999999" customHeight="1" x14ac:dyDescent="0.45">
      <c r="B22" s="21"/>
      <c r="C22" s="45"/>
      <c r="D22" s="430"/>
      <c r="E22" s="430"/>
      <c r="F22" s="430"/>
      <c r="G22" s="45"/>
      <c r="H22" s="65"/>
      <c r="I22" s="431"/>
      <c r="J22" s="431"/>
      <c r="K22" s="96"/>
      <c r="L22" s="131"/>
    </row>
    <row r="23" spans="2:15" ht="20.149999999999999" customHeight="1" x14ac:dyDescent="0.45">
      <c r="B23" s="21"/>
      <c r="C23" s="45"/>
      <c r="D23" s="430"/>
      <c r="E23" s="430"/>
      <c r="F23" s="430"/>
      <c r="G23" s="45"/>
      <c r="H23" s="65"/>
      <c r="I23" s="431"/>
      <c r="J23" s="431"/>
      <c r="K23" s="96"/>
      <c r="L23" s="131"/>
    </row>
    <row r="24" spans="2:15" ht="20.149999999999999" customHeight="1" x14ac:dyDescent="0.45">
      <c r="B24" s="21"/>
      <c r="C24" s="437" t="s">
        <v>629</v>
      </c>
      <c r="D24" s="437"/>
      <c r="E24" s="437"/>
      <c r="F24" s="437"/>
      <c r="G24" s="437"/>
      <c r="H24" s="65"/>
      <c r="I24" s="431"/>
      <c r="J24" s="431"/>
      <c r="K24" s="22"/>
      <c r="L24" s="23"/>
    </row>
    <row r="25" spans="2:15" ht="20.149999999999999" customHeight="1" x14ac:dyDescent="0.45">
      <c r="B25" s="21"/>
      <c r="C25" s="45" t="s">
        <v>862</v>
      </c>
      <c r="D25" s="430" t="str">
        <f>VLOOKUP(C25,'Sales Master'!B$3:D$316,2,0)</f>
        <v>Fresh Soursop Seedless 红毛榴莲(无)</v>
      </c>
      <c r="E25" s="430"/>
      <c r="F25" s="430"/>
      <c r="G25" s="45">
        <v>3</v>
      </c>
      <c r="H25" s="65" t="str">
        <f>VLOOKUP(C25,'Sales Master'!B$3:F$936,5,0)</f>
        <v>Box/盒</v>
      </c>
      <c r="I25" s="431" t="str">
        <f>VLOOKUP(C25,'Sales Master'!B$3:E$936,4,0)</f>
        <v>DO!</v>
      </c>
      <c r="J25" s="431"/>
      <c r="K25" s="22">
        <v>8</v>
      </c>
      <c r="L25" s="23"/>
    </row>
    <row r="26" spans="2:15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23"/>
    </row>
    <row r="27" spans="2:15" ht="20.149999999999999" customHeight="1" x14ac:dyDescent="0.45">
      <c r="B27" s="21"/>
      <c r="C27" s="45"/>
      <c r="D27" s="503"/>
      <c r="E27" s="503"/>
      <c r="F27" s="503"/>
      <c r="G27" s="45"/>
      <c r="H27" s="65"/>
      <c r="I27" s="65"/>
      <c r="J27" s="65"/>
      <c r="K27" s="22"/>
      <c r="L27" s="23"/>
    </row>
    <row r="28" spans="2:15" ht="20.149999999999999" customHeight="1" thickBot="1" x14ac:dyDescent="0.5">
      <c r="B28" s="24"/>
      <c r="C28" s="25"/>
      <c r="D28" s="473"/>
      <c r="E28" s="473"/>
      <c r="F28" s="473"/>
      <c r="G28" s="25"/>
      <c r="H28" s="66"/>
      <c r="I28" s="66"/>
      <c r="J28" s="66"/>
      <c r="K28" s="26"/>
      <c r="L28" s="27"/>
    </row>
    <row r="29" spans="2:15" ht="20.149999999999999" customHeight="1" thickBot="1" x14ac:dyDescent="0.5">
      <c r="B29" s="28"/>
      <c r="L29" s="29"/>
    </row>
    <row r="30" spans="2:15" ht="20.149999999999999" customHeight="1" x14ac:dyDescent="0.45">
      <c r="B30" s="11" t="s">
        <v>16</v>
      </c>
      <c r="C30" s="10"/>
      <c r="D30" s="10"/>
      <c r="E30" s="10"/>
      <c r="F30" s="10"/>
      <c r="G30" s="10"/>
      <c r="H30" s="10"/>
      <c r="I30" s="10"/>
      <c r="J30" s="474" t="s">
        <v>13</v>
      </c>
      <c r="K30" s="475"/>
      <c r="L30" s="30">
        <f>SUM(L17:L29)</f>
        <v>70</v>
      </c>
    </row>
    <row r="31" spans="2:15" ht="20.149999999999999" customHeight="1" x14ac:dyDescent="0.45">
      <c r="B31" s="11" t="s">
        <v>17</v>
      </c>
      <c r="C31" s="10"/>
      <c r="D31" s="10"/>
      <c r="E31" s="10"/>
      <c r="F31" s="10"/>
      <c r="G31" s="10"/>
      <c r="H31" s="10"/>
      <c r="I31" s="10"/>
      <c r="J31" s="110" t="s">
        <v>553</v>
      </c>
      <c r="K31" s="113">
        <v>6.54E-2</v>
      </c>
      <c r="L31" s="32">
        <f>L33</f>
        <v>4.5794392523364484</v>
      </c>
    </row>
    <row r="32" spans="2:15" ht="20.149999999999999" customHeight="1" x14ac:dyDescent="0.45">
      <c r="B32" s="11" t="s">
        <v>18</v>
      </c>
      <c r="C32" s="10"/>
      <c r="D32" s="10"/>
      <c r="E32" s="10"/>
      <c r="F32" s="10"/>
      <c r="G32" s="10"/>
      <c r="H32" s="10"/>
      <c r="I32" s="10"/>
      <c r="J32" s="476" t="s">
        <v>555</v>
      </c>
      <c r="K32" s="477"/>
      <c r="L32" s="114">
        <f>L30/107*100</f>
        <v>65.420560747663544</v>
      </c>
    </row>
    <row r="33" spans="2:12" ht="20.149999999999999" customHeight="1" x14ac:dyDescent="0.45">
      <c r="B33" s="11" t="s">
        <v>22</v>
      </c>
      <c r="C33" s="10"/>
      <c r="D33" s="10"/>
      <c r="E33" s="10"/>
      <c r="F33" s="10"/>
      <c r="G33" s="10"/>
      <c r="H33" s="10"/>
      <c r="I33" s="10"/>
      <c r="J33" s="111" t="s">
        <v>554</v>
      </c>
      <c r="K33" s="112">
        <v>7.0000000000000007E-2</v>
      </c>
      <c r="L33" s="44">
        <f>L32*K33</f>
        <v>4.5794392523364484</v>
      </c>
    </row>
    <row r="34" spans="2:12" ht="20.149999999999999" customHeight="1" thickBot="1" x14ac:dyDescent="0.5">
      <c r="B34" s="11" t="s">
        <v>748</v>
      </c>
      <c r="C34" s="10"/>
      <c r="D34" s="10"/>
      <c r="E34" s="10"/>
      <c r="F34" s="10"/>
      <c r="G34" s="10"/>
      <c r="H34" s="10"/>
      <c r="I34" s="10"/>
      <c r="J34" s="478" t="s">
        <v>21</v>
      </c>
      <c r="K34" s="479"/>
      <c r="L34" s="33">
        <f>L32+L33</f>
        <v>69.999999999999986</v>
      </c>
    </row>
    <row r="35" spans="2:12" ht="20.149999999999999" customHeight="1" x14ac:dyDescent="0.45">
      <c r="B35" s="11" t="s">
        <v>23</v>
      </c>
      <c r="C35" s="10"/>
      <c r="D35" s="10"/>
      <c r="E35" s="10"/>
      <c r="F35" s="10"/>
      <c r="G35" s="10"/>
      <c r="H35" s="10"/>
      <c r="I35" s="10"/>
      <c r="L35" s="29"/>
    </row>
    <row r="36" spans="2:12" ht="20.149999999999999" customHeight="1" x14ac:dyDescent="0.45">
      <c r="B36" s="183" t="s">
        <v>749</v>
      </c>
      <c r="L36" s="29"/>
    </row>
    <row r="37" spans="2:12" ht="20.149999999999999" customHeight="1" x14ac:dyDescent="0.45">
      <c r="B37" s="28"/>
      <c r="L37" s="29"/>
    </row>
    <row r="38" spans="2:12" ht="20.149999999999999" customHeight="1" x14ac:dyDescent="0.45">
      <c r="B38" s="28"/>
      <c r="L38" s="29"/>
    </row>
    <row r="39" spans="2:12" ht="20.149999999999999" customHeight="1" x14ac:dyDescent="0.45">
      <c r="B39" s="28"/>
      <c r="L39" s="29"/>
    </row>
    <row r="40" spans="2:12" ht="20.149999999999999" customHeight="1" x14ac:dyDescent="0.45">
      <c r="B40" s="34"/>
      <c r="C40" s="35"/>
      <c r="D40" s="35"/>
      <c r="J40" s="35"/>
      <c r="K40" s="35"/>
      <c r="L40" s="36"/>
    </row>
    <row r="41" spans="2:12" ht="20.149999999999999" customHeight="1" x14ac:dyDescent="0.45">
      <c r="B41" s="28" t="s">
        <v>24</v>
      </c>
      <c r="J41" s="60" t="s">
        <v>25</v>
      </c>
      <c r="L41" s="29"/>
    </row>
    <row r="42" spans="2:12" ht="19" thickBot="1" x14ac:dyDescent="0.5">
      <c r="B42" s="37"/>
      <c r="C42" s="62"/>
      <c r="D42" s="62"/>
      <c r="E42" s="62"/>
      <c r="F42" s="62"/>
      <c r="G42" s="62"/>
      <c r="H42" s="62"/>
      <c r="I42" s="62"/>
      <c r="J42" s="62"/>
      <c r="K42" s="62"/>
      <c r="L42" s="38"/>
    </row>
  </sheetData>
  <mergeCells count="36"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1:F21"/>
    <mergeCell ref="I21:J21"/>
    <mergeCell ref="D19:F19"/>
    <mergeCell ref="I19:J19"/>
    <mergeCell ref="C24:G24"/>
    <mergeCell ref="B1:L8"/>
    <mergeCell ref="D28:F28"/>
    <mergeCell ref="J30:K30"/>
    <mergeCell ref="J32:K32"/>
    <mergeCell ref="J34:K34"/>
    <mergeCell ref="D27:F27"/>
    <mergeCell ref="D25:F25"/>
    <mergeCell ref="I25:J25"/>
    <mergeCell ref="D26:F26"/>
    <mergeCell ref="I26:J26"/>
    <mergeCell ref="D22:F22"/>
    <mergeCell ref="I22:J22"/>
    <mergeCell ref="D23:F23"/>
    <mergeCell ref="I23:J23"/>
    <mergeCell ref="I24:J24"/>
    <mergeCell ref="D20:F20"/>
  </mergeCells>
  <printOptions horizontalCentered="1"/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9876E-59EA-4CD9-A557-CD23E18CDDDD}">
  <sheetPr codeName="Sheet84">
    <tabColor rgb="FF92D050"/>
    <pageSetUpPr fitToPage="1"/>
  </sheetPr>
  <dimension ref="B1:O43"/>
  <sheetViews>
    <sheetView topLeftCell="A18" zoomScaleNormal="100" workbookViewId="0">
      <selection activeCell="K11" sqref="K11:L11"/>
    </sheetView>
  </sheetViews>
  <sheetFormatPr defaultColWidth="12.54296875" defaultRowHeight="18.5" x14ac:dyDescent="0.45"/>
  <cols>
    <col min="1" max="3" width="12.54296875" style="60"/>
    <col min="4" max="4" width="14.54296875" style="60" customWidth="1"/>
    <col min="5" max="5" width="2.54296875" style="60" customWidth="1"/>
    <col min="6" max="6" width="15.54296875" style="60" customWidth="1"/>
    <col min="7" max="7" width="8.54296875" style="60" customWidth="1"/>
    <col min="8" max="8" width="15.54296875" style="60" customWidth="1"/>
    <col min="9" max="9" width="2.54296875" style="60" customWidth="1"/>
    <col min="10" max="10" width="15.54296875" style="60" customWidth="1"/>
    <col min="11" max="11" width="10.54296875" style="60" customWidth="1"/>
    <col min="12" max="16384" width="12.54296875" style="60"/>
  </cols>
  <sheetData>
    <row r="1" spans="2:12" x14ac:dyDescent="0.45"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2:12" x14ac:dyDescent="0.45">
      <c r="B2" s="440"/>
      <c r="C2" s="440"/>
      <c r="D2" s="440"/>
      <c r="E2" s="440"/>
      <c r="F2" s="440"/>
      <c r="G2" s="440"/>
      <c r="H2" s="440"/>
      <c r="I2" s="440"/>
      <c r="J2" s="440"/>
      <c r="K2" s="440"/>
      <c r="L2" s="440"/>
    </row>
    <row r="3" spans="2:12" x14ac:dyDescent="0.45">
      <c r="B3" s="440"/>
      <c r="C3" s="440"/>
      <c r="D3" s="440"/>
      <c r="E3" s="440"/>
      <c r="F3" s="440"/>
      <c r="G3" s="440"/>
      <c r="H3" s="440"/>
      <c r="I3" s="440"/>
      <c r="J3" s="440"/>
      <c r="K3" s="440"/>
      <c r="L3" s="440"/>
    </row>
    <row r="4" spans="2:12" x14ac:dyDescent="0.45">
      <c r="B4" s="440"/>
      <c r="C4" s="440"/>
      <c r="D4" s="440"/>
      <c r="E4" s="440"/>
      <c r="F4" s="440"/>
      <c r="G4" s="440"/>
      <c r="H4" s="440"/>
      <c r="I4" s="440"/>
      <c r="J4" s="440"/>
      <c r="K4" s="440"/>
      <c r="L4" s="440"/>
    </row>
    <row r="5" spans="2:12" x14ac:dyDescent="0.45">
      <c r="B5" s="440"/>
      <c r="C5" s="440"/>
      <c r="D5" s="440"/>
      <c r="E5" s="440"/>
      <c r="F5" s="440"/>
      <c r="G5" s="440"/>
      <c r="H5" s="440"/>
      <c r="I5" s="440"/>
      <c r="J5" s="440"/>
      <c r="K5" s="440"/>
      <c r="L5" s="440"/>
    </row>
    <row r="6" spans="2:12" x14ac:dyDescent="0.45">
      <c r="B6" s="440"/>
      <c r="C6" s="440"/>
      <c r="D6" s="440"/>
      <c r="E6" s="440"/>
      <c r="F6" s="440"/>
      <c r="G6" s="440"/>
      <c r="H6" s="440"/>
      <c r="I6" s="440"/>
      <c r="J6" s="440"/>
      <c r="K6" s="440"/>
      <c r="L6" s="440"/>
    </row>
    <row r="7" spans="2:12" x14ac:dyDescent="0.45">
      <c r="B7" s="440"/>
      <c r="C7" s="440"/>
      <c r="D7" s="440"/>
      <c r="E7" s="440"/>
      <c r="F7" s="440"/>
      <c r="G7" s="440"/>
      <c r="H7" s="440"/>
      <c r="I7" s="440"/>
      <c r="J7" s="440"/>
      <c r="K7" s="440"/>
      <c r="L7" s="440"/>
    </row>
    <row r="8" spans="2:12" ht="19" thickBot="1" x14ac:dyDescent="0.5">
      <c r="B8" s="441"/>
      <c r="C8" s="441"/>
      <c r="D8" s="441"/>
      <c r="E8" s="441"/>
      <c r="F8" s="441"/>
      <c r="G8" s="441"/>
      <c r="H8" s="441"/>
      <c r="I8" s="441"/>
      <c r="J8" s="441"/>
      <c r="K8" s="441"/>
      <c r="L8" s="441"/>
    </row>
    <row r="9" spans="2:12" ht="19" thickBot="1" x14ac:dyDescent="0.5">
      <c r="B9" s="12"/>
    </row>
    <row r="10" spans="2:12" ht="18" customHeight="1" thickTop="1" thickBot="1" x14ac:dyDescent="0.5">
      <c r="B10" s="13" t="s">
        <v>7</v>
      </c>
      <c r="C10" s="13"/>
      <c r="D10" s="14"/>
      <c r="E10" s="14"/>
      <c r="F10" s="15" t="s">
        <v>8</v>
      </c>
      <c r="G10" s="16"/>
      <c r="H10" s="16" t="s">
        <v>487</v>
      </c>
      <c r="J10" s="17" t="s">
        <v>26</v>
      </c>
      <c r="K10" s="455">
        <v>202202009</v>
      </c>
      <c r="L10" s="456"/>
    </row>
    <row r="11" spans="2:12" ht="20.149999999999999" customHeight="1" x14ac:dyDescent="0.45">
      <c r="B11" s="480"/>
      <c r="C11" s="481"/>
      <c r="D11" s="482"/>
      <c r="E11" s="61"/>
      <c r="F11" s="444" t="str">
        <f>VLOOKUP(H10,'Delivery Location'!A$4:N$423,2,0)</f>
        <v>TEL:96834808                                         Blk 285, Yishun #01-08 Singapore</v>
      </c>
      <c r="G11" s="445"/>
      <c r="H11" s="446"/>
      <c r="J11" s="18" t="s">
        <v>9</v>
      </c>
      <c r="K11" s="460">
        <v>44595</v>
      </c>
      <c r="L11" s="461"/>
    </row>
    <row r="12" spans="2:12" ht="20.149999999999999" customHeight="1" x14ac:dyDescent="0.45">
      <c r="B12" s="462"/>
      <c r="C12" s="463"/>
      <c r="D12" s="464"/>
      <c r="E12" s="61"/>
      <c r="F12" s="447"/>
      <c r="G12" s="448"/>
      <c r="H12" s="449"/>
      <c r="J12" s="18" t="s">
        <v>81</v>
      </c>
      <c r="K12" s="465" t="s">
        <v>312</v>
      </c>
      <c r="L12" s="466"/>
    </row>
    <row r="13" spans="2:12" ht="20.149999999999999" customHeight="1" x14ac:dyDescent="0.45">
      <c r="B13" s="462"/>
      <c r="C13" s="463"/>
      <c r="D13" s="464"/>
      <c r="E13" s="61"/>
      <c r="F13" s="447"/>
      <c r="G13" s="448"/>
      <c r="H13" s="449"/>
      <c r="J13" s="18" t="s">
        <v>10</v>
      </c>
      <c r="K13" s="465" t="s">
        <v>374</v>
      </c>
      <c r="L13" s="466"/>
    </row>
    <row r="14" spans="2:12" ht="20.149999999999999" customHeight="1" x14ac:dyDescent="0.45">
      <c r="B14" s="462"/>
      <c r="C14" s="463"/>
      <c r="D14" s="464"/>
      <c r="E14" s="61"/>
      <c r="F14" s="447"/>
      <c r="G14" s="448"/>
      <c r="H14" s="449"/>
      <c r="J14" s="18" t="s">
        <v>27</v>
      </c>
      <c r="K14" s="465" t="s">
        <v>14</v>
      </c>
      <c r="L14" s="466"/>
    </row>
    <row r="15" spans="2:12" ht="18" customHeight="1" thickBot="1" x14ac:dyDescent="0.5">
      <c r="B15" s="467"/>
      <c r="C15" s="468"/>
      <c r="D15" s="469"/>
      <c r="E15" s="14"/>
      <c r="F15" s="450"/>
      <c r="G15" s="451"/>
      <c r="H15" s="452"/>
      <c r="J15" s="19" t="s">
        <v>11</v>
      </c>
      <c r="K15" s="483"/>
      <c r="L15" s="484"/>
    </row>
    <row r="16" spans="2:12" ht="19" thickBot="1" x14ac:dyDescent="0.5">
      <c r="J16" s="45"/>
    </row>
    <row r="17" spans="2:15" ht="30" customHeight="1" thickBot="1" x14ac:dyDescent="0.5">
      <c r="B17" s="41" t="s">
        <v>2</v>
      </c>
      <c r="C17" s="42" t="s">
        <v>3</v>
      </c>
      <c r="D17" s="470" t="s">
        <v>4</v>
      </c>
      <c r="E17" s="471"/>
      <c r="F17" s="472"/>
      <c r="G17" s="58" t="s">
        <v>335</v>
      </c>
      <c r="H17" s="42" t="s">
        <v>28</v>
      </c>
      <c r="I17" s="470" t="s">
        <v>57</v>
      </c>
      <c r="J17" s="472"/>
      <c r="K17" s="42" t="s">
        <v>5</v>
      </c>
      <c r="L17" s="43" t="s">
        <v>6</v>
      </c>
      <c r="M17" s="20"/>
      <c r="N17" s="20"/>
      <c r="O17" s="20"/>
    </row>
    <row r="18" spans="2:15" ht="20.149999999999999" customHeight="1" x14ac:dyDescent="0.45">
      <c r="B18" s="21"/>
      <c r="C18" s="45" t="s">
        <v>1026</v>
      </c>
      <c r="D18" s="430" t="str">
        <f>VLOOKUP(C18,'Sales Master'!B$3:D$316,2,0)</f>
        <v>Aloe Vera 芦荟 10mm</v>
      </c>
      <c r="E18" s="430"/>
      <c r="F18" s="430"/>
      <c r="G18" s="45">
        <v>6</v>
      </c>
      <c r="H18" s="65" t="str">
        <f>VLOOKUP(C18,'Sales Master'!B$3:F$936,5,0)</f>
        <v>1 Can X A10</v>
      </c>
      <c r="I18" s="431" t="str">
        <f>VLOOKUP(C18,'Sales Master'!B$3:E$936,4,0)</f>
        <v>Chefs</v>
      </c>
      <c r="J18" s="431"/>
      <c r="K18" s="22">
        <f>VLOOKUP(C18,'Sales Master'!B$3:AO$527,40,0)</f>
        <v>10</v>
      </c>
      <c r="L18" s="71">
        <f>K18*G18</f>
        <v>60</v>
      </c>
    </row>
    <row r="19" spans="2:15" ht="20.149999999999999" customHeight="1" x14ac:dyDescent="0.45">
      <c r="B19" s="21"/>
      <c r="C19" s="45"/>
      <c r="D19" s="430"/>
      <c r="E19" s="430"/>
      <c r="F19" s="430"/>
      <c r="G19" s="45"/>
      <c r="H19" s="65"/>
      <c r="I19" s="431"/>
      <c r="J19" s="431"/>
      <c r="K19" s="22"/>
      <c r="L19" s="71"/>
    </row>
    <row r="20" spans="2:15" ht="20.149999999999999" customHeight="1" x14ac:dyDescent="0.45">
      <c r="B20" s="21"/>
      <c r="C20" s="45"/>
      <c r="D20" s="430"/>
      <c r="E20" s="430"/>
      <c r="F20" s="430"/>
      <c r="G20" s="45"/>
      <c r="H20" s="65"/>
      <c r="I20" s="431"/>
      <c r="J20" s="431"/>
      <c r="K20" s="96"/>
      <c r="L20" s="98"/>
    </row>
    <row r="21" spans="2:15" ht="20.149999999999999" customHeight="1" x14ac:dyDescent="0.45">
      <c r="B21" s="21"/>
      <c r="C21" s="45"/>
      <c r="D21" s="430"/>
      <c r="E21" s="430"/>
      <c r="F21" s="430"/>
      <c r="G21" s="45"/>
      <c r="H21" s="65"/>
      <c r="I21" s="431"/>
      <c r="J21" s="431"/>
      <c r="K21" s="22"/>
      <c r="L21" s="71"/>
    </row>
    <row r="22" spans="2:15" ht="20.149999999999999" customHeight="1" x14ac:dyDescent="0.45">
      <c r="B22" s="70"/>
      <c r="C22" s="45"/>
      <c r="D22" s="430"/>
      <c r="E22" s="430"/>
      <c r="F22" s="430"/>
      <c r="G22" s="45"/>
      <c r="H22" s="65"/>
      <c r="I22" s="431"/>
      <c r="J22" s="431"/>
      <c r="K22" s="22"/>
      <c r="L22" s="71"/>
    </row>
    <row r="23" spans="2:15" ht="20.149999999999999" customHeight="1" x14ac:dyDescent="0.45">
      <c r="B23" s="70"/>
      <c r="C23" s="45"/>
      <c r="D23" s="430"/>
      <c r="E23" s="430"/>
      <c r="F23" s="430"/>
      <c r="G23" s="45"/>
      <c r="H23" s="65"/>
      <c r="I23" s="431"/>
      <c r="J23" s="431"/>
      <c r="K23" s="22"/>
      <c r="L23" s="71"/>
    </row>
    <row r="24" spans="2:15" ht="20.149999999999999" customHeight="1" x14ac:dyDescent="0.45">
      <c r="B24" s="70"/>
      <c r="C24" s="45"/>
      <c r="D24" s="430"/>
      <c r="E24" s="430"/>
      <c r="F24" s="430"/>
      <c r="G24" s="45"/>
      <c r="H24" s="65"/>
      <c r="I24" s="431"/>
      <c r="J24" s="431"/>
      <c r="K24" s="22"/>
      <c r="L24" s="71"/>
    </row>
    <row r="25" spans="2:15" ht="20.149999999999999" customHeight="1" x14ac:dyDescent="0.45">
      <c r="B25" s="21"/>
      <c r="C25" s="45"/>
      <c r="D25" s="430"/>
      <c r="E25" s="430"/>
      <c r="F25" s="430"/>
      <c r="G25" s="45"/>
      <c r="H25" s="65"/>
      <c r="I25" s="431"/>
      <c r="J25" s="431"/>
      <c r="K25" s="22"/>
      <c r="L25" s="71"/>
    </row>
    <row r="26" spans="2:15" ht="20.149999999999999" customHeight="1" x14ac:dyDescent="0.45">
      <c r="B26" s="21"/>
      <c r="C26" s="45"/>
      <c r="D26" s="430"/>
      <c r="E26" s="430"/>
      <c r="F26" s="430"/>
      <c r="G26" s="45"/>
      <c r="H26" s="65"/>
      <c r="I26" s="431"/>
      <c r="J26" s="431"/>
      <c r="K26" s="22"/>
      <c r="L26" s="71"/>
    </row>
    <row r="27" spans="2:15" ht="20.149999999999999" customHeight="1" x14ac:dyDescent="0.45">
      <c r="B27" s="21"/>
      <c r="C27" s="45"/>
      <c r="D27" s="430"/>
      <c r="E27" s="430"/>
      <c r="F27" s="430"/>
      <c r="G27" s="45"/>
      <c r="H27" s="65"/>
      <c r="I27" s="431"/>
      <c r="J27" s="431"/>
      <c r="K27" s="22"/>
      <c r="L27" s="23"/>
    </row>
    <row r="28" spans="2:15" ht="20.149999999999999" customHeight="1" x14ac:dyDescent="0.45">
      <c r="B28" s="21"/>
      <c r="C28" s="45"/>
      <c r="D28" s="430"/>
      <c r="E28" s="430"/>
      <c r="F28" s="430"/>
      <c r="G28" s="45"/>
      <c r="H28" s="65"/>
      <c r="I28" s="431"/>
      <c r="J28" s="431"/>
      <c r="K28" s="22"/>
      <c r="L28" s="23"/>
    </row>
    <row r="29" spans="2:15" ht="20.149999999999999" customHeight="1" thickBot="1" x14ac:dyDescent="0.5">
      <c r="B29" s="24"/>
      <c r="C29" s="25"/>
      <c r="D29" s="473"/>
      <c r="E29" s="473"/>
      <c r="F29" s="473"/>
      <c r="G29" s="25"/>
      <c r="H29" s="66"/>
      <c r="I29" s="66"/>
      <c r="J29" s="66"/>
      <c r="K29" s="26"/>
      <c r="L29" s="27"/>
    </row>
    <row r="30" spans="2:15" ht="20.149999999999999" customHeight="1" thickBot="1" x14ac:dyDescent="0.5">
      <c r="B30" s="28"/>
      <c r="L30" s="29"/>
    </row>
    <row r="31" spans="2:15" ht="20.149999999999999" customHeight="1" x14ac:dyDescent="0.45">
      <c r="B31" s="11" t="s">
        <v>16</v>
      </c>
      <c r="C31" s="10"/>
      <c r="D31" s="10"/>
      <c r="E31" s="10"/>
      <c r="F31" s="10"/>
      <c r="G31" s="10"/>
      <c r="H31" s="10"/>
      <c r="I31" s="10"/>
      <c r="J31" s="474" t="s">
        <v>13</v>
      </c>
      <c r="K31" s="475"/>
      <c r="L31" s="30">
        <f>SUM(L18:L30)</f>
        <v>60</v>
      </c>
    </row>
    <row r="32" spans="2:15" ht="20.149999999999999" customHeight="1" x14ac:dyDescent="0.45">
      <c r="B32" s="11" t="s">
        <v>17</v>
      </c>
      <c r="C32" s="10"/>
      <c r="D32" s="10"/>
      <c r="E32" s="10"/>
      <c r="F32" s="10"/>
      <c r="G32" s="10"/>
      <c r="H32" s="10"/>
      <c r="I32" s="10"/>
      <c r="J32" s="110" t="s">
        <v>553</v>
      </c>
      <c r="K32" s="113">
        <v>6.54E-2</v>
      </c>
      <c r="L32" s="32">
        <f>L34</f>
        <v>3.9252336448598131</v>
      </c>
    </row>
    <row r="33" spans="2:12" ht="20.149999999999999" customHeight="1" x14ac:dyDescent="0.45">
      <c r="B33" s="11" t="s">
        <v>18</v>
      </c>
      <c r="C33" s="10"/>
      <c r="D33" s="10"/>
      <c r="E33" s="10"/>
      <c r="F33" s="10"/>
      <c r="G33" s="10"/>
      <c r="H33" s="10"/>
      <c r="I33" s="10"/>
      <c r="J33" s="476" t="s">
        <v>555</v>
      </c>
      <c r="K33" s="477"/>
      <c r="L33" s="114">
        <f>L31/107*100</f>
        <v>56.074766355140184</v>
      </c>
    </row>
    <row r="34" spans="2:12" ht="20.149999999999999" customHeight="1" x14ac:dyDescent="0.45">
      <c r="B34" s="11" t="s">
        <v>22</v>
      </c>
      <c r="C34" s="10"/>
      <c r="D34" s="10"/>
      <c r="E34" s="10"/>
      <c r="F34" s="10"/>
      <c r="G34" s="10"/>
      <c r="H34" s="10"/>
      <c r="I34" s="10"/>
      <c r="J34" s="111" t="s">
        <v>554</v>
      </c>
      <c r="K34" s="112">
        <v>7.0000000000000007E-2</v>
      </c>
      <c r="L34" s="44">
        <f>L33*K34</f>
        <v>3.9252336448598131</v>
      </c>
    </row>
    <row r="35" spans="2:12" ht="20.149999999999999" customHeight="1" thickBot="1" x14ac:dyDescent="0.5">
      <c r="B35" s="11" t="s">
        <v>748</v>
      </c>
      <c r="C35" s="10"/>
      <c r="D35" s="10"/>
      <c r="E35" s="10"/>
      <c r="F35" s="10"/>
      <c r="G35" s="10"/>
      <c r="H35" s="10"/>
      <c r="I35" s="10"/>
      <c r="J35" s="478" t="s">
        <v>21</v>
      </c>
      <c r="K35" s="479"/>
      <c r="L35" s="33">
        <f>L33+L34</f>
        <v>60</v>
      </c>
    </row>
    <row r="36" spans="2:12" ht="20.149999999999999" customHeight="1" x14ac:dyDescent="0.45">
      <c r="B36" s="11" t="s">
        <v>23</v>
      </c>
      <c r="C36" s="10"/>
      <c r="D36" s="10"/>
      <c r="E36" s="10"/>
      <c r="F36" s="10"/>
      <c r="G36" s="10"/>
      <c r="H36" s="10"/>
      <c r="I36" s="10"/>
      <c r="L36" s="29"/>
    </row>
    <row r="37" spans="2:12" ht="20.149999999999999" customHeight="1" x14ac:dyDescent="0.45">
      <c r="B37" s="183" t="s">
        <v>749</v>
      </c>
      <c r="L37" s="29"/>
    </row>
    <row r="38" spans="2:12" ht="20.149999999999999" customHeight="1" x14ac:dyDescent="0.45">
      <c r="B38" s="28"/>
      <c r="L38" s="29"/>
    </row>
    <row r="39" spans="2:12" ht="18" customHeight="1" x14ac:dyDescent="0.45">
      <c r="B39" s="28"/>
      <c r="L39" s="29"/>
    </row>
    <row r="40" spans="2:12" ht="20.149999999999999" customHeight="1" x14ac:dyDescent="0.45">
      <c r="B40" s="28"/>
      <c r="L40" s="29"/>
    </row>
    <row r="41" spans="2:12" ht="20.149999999999999" customHeight="1" x14ac:dyDescent="0.45">
      <c r="B41" s="34"/>
      <c r="C41" s="35"/>
      <c r="D41" s="35"/>
      <c r="J41" s="35"/>
      <c r="K41" s="35"/>
      <c r="L41" s="36"/>
    </row>
    <row r="42" spans="2:12" ht="20.149999999999999" customHeight="1" x14ac:dyDescent="0.45">
      <c r="B42" s="28" t="s">
        <v>24</v>
      </c>
      <c r="J42" s="60" t="s">
        <v>25</v>
      </c>
      <c r="L42" s="29"/>
    </row>
    <row r="43" spans="2:12" ht="19" thickBot="1" x14ac:dyDescent="0.5">
      <c r="B43" s="37"/>
      <c r="C43" s="62"/>
      <c r="D43" s="62"/>
      <c r="E43" s="62"/>
      <c r="F43" s="62"/>
      <c r="G43" s="62"/>
      <c r="H43" s="62"/>
      <c r="I43" s="62"/>
      <c r="J43" s="62"/>
      <c r="K43" s="62"/>
      <c r="L43" s="38"/>
    </row>
  </sheetData>
  <mergeCells count="41">
    <mergeCell ref="J35:K35"/>
    <mergeCell ref="D27:F27"/>
    <mergeCell ref="I27:J27"/>
    <mergeCell ref="D28:F28"/>
    <mergeCell ref="I28:J28"/>
    <mergeCell ref="D29:F29"/>
    <mergeCell ref="J31:K31"/>
    <mergeCell ref="J33:K33"/>
    <mergeCell ref="D26:F26"/>
    <mergeCell ref="I26:J26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5118110236220497" bottom="0" header="0.31496062992126" footer="0.31496062992126"/>
  <pageSetup paperSize="9" scale="76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131</vt:i4>
      </vt:variant>
      <vt:variant>
        <vt:lpstr>Named Ranges</vt:lpstr>
      </vt:variant>
      <vt:variant>
        <vt:i4>131</vt:i4>
      </vt:variant>
    </vt:vector>
  </HeadingPairs>
  <TitlesOfParts>
    <vt:vector size="262" baseType="lpstr">
      <vt:lpstr>Sales Master</vt:lpstr>
      <vt:lpstr>Delivery Location</vt:lpstr>
      <vt:lpstr>#53</vt:lpstr>
      <vt:lpstr>#52 (2)</vt:lpstr>
      <vt:lpstr>#46</vt:lpstr>
      <vt:lpstr>#12</vt:lpstr>
      <vt:lpstr>#83</vt:lpstr>
      <vt:lpstr>#10</vt:lpstr>
      <vt:lpstr>#110</vt:lpstr>
      <vt:lpstr>#77</vt:lpstr>
      <vt:lpstr>#144</vt:lpstr>
      <vt:lpstr>#143</vt:lpstr>
      <vt:lpstr>#142</vt:lpstr>
      <vt:lpstr>#93</vt:lpstr>
      <vt:lpstr>顺兴 (S)</vt:lpstr>
      <vt:lpstr>顺兴 (Other)</vt:lpstr>
      <vt:lpstr>凉凉</vt:lpstr>
      <vt:lpstr>#116</vt:lpstr>
      <vt:lpstr>#03</vt:lpstr>
      <vt:lpstr>珍姐		</vt:lpstr>
      <vt:lpstr>#27</vt:lpstr>
      <vt:lpstr>#28</vt:lpstr>
      <vt:lpstr>#29</vt:lpstr>
      <vt:lpstr>#35</vt:lpstr>
      <vt:lpstr>#37</vt:lpstr>
      <vt:lpstr>#47</vt:lpstr>
      <vt:lpstr>#50</vt:lpstr>
      <vt:lpstr>#51</vt:lpstr>
      <vt:lpstr>#52</vt:lpstr>
      <vt:lpstr>#54</vt:lpstr>
      <vt:lpstr>#55</vt:lpstr>
      <vt:lpstr>#56</vt:lpstr>
      <vt:lpstr>#98</vt:lpstr>
      <vt:lpstr>#58</vt:lpstr>
      <vt:lpstr>#59</vt:lpstr>
      <vt:lpstr>#62</vt:lpstr>
      <vt:lpstr>#63</vt:lpstr>
      <vt:lpstr>#65</vt:lpstr>
      <vt:lpstr>#88</vt:lpstr>
      <vt:lpstr>#129</vt:lpstr>
      <vt:lpstr>#139</vt:lpstr>
      <vt:lpstr>#17</vt:lpstr>
      <vt:lpstr>#32</vt:lpstr>
      <vt:lpstr>#26</vt:lpstr>
      <vt:lpstr>#78</vt:lpstr>
      <vt:lpstr>#114</vt:lpstr>
      <vt:lpstr>#61</vt:lpstr>
      <vt:lpstr>#86</vt:lpstr>
      <vt:lpstr>#30</vt:lpstr>
      <vt:lpstr>#22</vt:lpstr>
      <vt:lpstr>#07</vt:lpstr>
      <vt:lpstr>#134</vt:lpstr>
      <vt:lpstr>#42</vt:lpstr>
      <vt:lpstr>#40</vt:lpstr>
      <vt:lpstr>#43</vt:lpstr>
      <vt:lpstr>#19</vt:lpstr>
      <vt:lpstr>#91</vt:lpstr>
      <vt:lpstr>#25</vt:lpstr>
      <vt:lpstr>#36</vt:lpstr>
      <vt:lpstr>#49</vt:lpstr>
      <vt:lpstr>#76</vt:lpstr>
      <vt:lpstr>#97</vt:lpstr>
      <vt:lpstr>#137</vt:lpstr>
      <vt:lpstr>#87</vt:lpstr>
      <vt:lpstr>#94</vt:lpstr>
      <vt:lpstr>#101</vt:lpstr>
      <vt:lpstr>#104</vt:lpstr>
      <vt:lpstr>#105</vt:lpstr>
      <vt:lpstr>#14</vt:lpstr>
      <vt:lpstr>#05</vt:lpstr>
      <vt:lpstr>#15</vt:lpstr>
      <vt:lpstr>#107</vt:lpstr>
      <vt:lpstr>#108</vt:lpstr>
      <vt:lpstr>#13</vt:lpstr>
      <vt:lpstr>#130</vt:lpstr>
      <vt:lpstr>#44</vt:lpstr>
      <vt:lpstr>#89</vt:lpstr>
      <vt:lpstr>#09</vt:lpstr>
      <vt:lpstr>#02</vt:lpstr>
      <vt:lpstr>#57</vt:lpstr>
      <vt:lpstr>#136</vt:lpstr>
      <vt:lpstr>#138</vt:lpstr>
      <vt:lpstr>#109</vt:lpstr>
      <vt:lpstr>#95</vt:lpstr>
      <vt:lpstr>#41</vt:lpstr>
      <vt:lpstr>#121</vt:lpstr>
      <vt:lpstr>#125</vt:lpstr>
      <vt:lpstr>#90</vt:lpstr>
      <vt:lpstr>#27 (2)</vt:lpstr>
      <vt:lpstr>#48</vt:lpstr>
      <vt:lpstr>#101 (2)</vt:lpstr>
      <vt:lpstr>#11</vt:lpstr>
      <vt:lpstr>#06</vt:lpstr>
      <vt:lpstr>#91 (2)</vt:lpstr>
      <vt:lpstr>#18</vt:lpstr>
      <vt:lpstr>118</vt:lpstr>
      <vt:lpstr>#120</vt:lpstr>
      <vt:lpstr>#71</vt:lpstr>
      <vt:lpstr>#75</vt:lpstr>
      <vt:lpstr>#113</vt:lpstr>
      <vt:lpstr>#34</vt:lpstr>
      <vt:lpstr>#74</vt:lpstr>
      <vt:lpstr>#99</vt:lpstr>
      <vt:lpstr>#80</vt:lpstr>
      <vt:lpstr>#39</vt:lpstr>
      <vt:lpstr>#102</vt:lpstr>
      <vt:lpstr>#38</vt:lpstr>
      <vt:lpstr>#83 (2)</vt:lpstr>
      <vt:lpstr>#103</vt:lpstr>
      <vt:lpstr>#92</vt:lpstr>
      <vt:lpstr>#16</vt:lpstr>
      <vt:lpstr>#31</vt:lpstr>
      <vt:lpstr>#79</vt:lpstr>
      <vt:lpstr>#112</vt:lpstr>
      <vt:lpstr>Micron</vt:lpstr>
      <vt:lpstr>#21</vt:lpstr>
      <vt:lpstr>#33</vt:lpstr>
      <vt:lpstr>#60</vt:lpstr>
      <vt:lpstr>#64</vt:lpstr>
      <vt:lpstr>#68</vt:lpstr>
      <vt:lpstr>#81</vt:lpstr>
      <vt:lpstr>#84</vt:lpstr>
      <vt:lpstr>#96</vt:lpstr>
      <vt:lpstr>#100</vt:lpstr>
      <vt:lpstr>源兴		</vt:lpstr>
      <vt:lpstr>#128</vt:lpstr>
      <vt:lpstr>#132</vt:lpstr>
      <vt:lpstr>#133</vt:lpstr>
      <vt:lpstr>#20</vt:lpstr>
      <vt:lpstr>WID#126</vt:lpstr>
      <vt:lpstr>Sheet1</vt:lpstr>
      <vt:lpstr>'#02'!Print_Area</vt:lpstr>
      <vt:lpstr>'#03'!Print_Area</vt:lpstr>
      <vt:lpstr>'#05'!Print_Area</vt:lpstr>
      <vt:lpstr>'#06'!Print_Area</vt:lpstr>
      <vt:lpstr>'#07'!Print_Area</vt:lpstr>
      <vt:lpstr>'#09'!Print_Area</vt:lpstr>
      <vt:lpstr>'#10'!Print_Area</vt:lpstr>
      <vt:lpstr>'#100'!Print_Area</vt:lpstr>
      <vt:lpstr>'#101'!Print_Area</vt:lpstr>
      <vt:lpstr>'#101 (2)'!Print_Area</vt:lpstr>
      <vt:lpstr>'#102'!Print_Area</vt:lpstr>
      <vt:lpstr>'#103'!Print_Area</vt:lpstr>
      <vt:lpstr>'#104'!Print_Area</vt:lpstr>
      <vt:lpstr>'#105'!Print_Area</vt:lpstr>
      <vt:lpstr>'#107'!Print_Area</vt:lpstr>
      <vt:lpstr>'#108'!Print_Area</vt:lpstr>
      <vt:lpstr>'#109'!Print_Area</vt:lpstr>
      <vt:lpstr>'#11'!Print_Area</vt:lpstr>
      <vt:lpstr>'#110'!Print_Area</vt:lpstr>
      <vt:lpstr>'#112'!Print_Area</vt:lpstr>
      <vt:lpstr>'#113'!Print_Area</vt:lpstr>
      <vt:lpstr>'#114'!Print_Area</vt:lpstr>
      <vt:lpstr>'#116'!Print_Area</vt:lpstr>
      <vt:lpstr>'#12'!Print_Area</vt:lpstr>
      <vt:lpstr>'#120'!Print_Area</vt:lpstr>
      <vt:lpstr>'#121'!Print_Area</vt:lpstr>
      <vt:lpstr>'#125'!Print_Area</vt:lpstr>
      <vt:lpstr>'#128'!Print_Area</vt:lpstr>
      <vt:lpstr>'#129'!Print_Area</vt:lpstr>
      <vt:lpstr>'#13'!Print_Area</vt:lpstr>
      <vt:lpstr>'#130'!Print_Area</vt:lpstr>
      <vt:lpstr>'#132'!Print_Area</vt:lpstr>
      <vt:lpstr>'#133'!Print_Area</vt:lpstr>
      <vt:lpstr>'#134'!Print_Area</vt:lpstr>
      <vt:lpstr>'#136'!Print_Area</vt:lpstr>
      <vt:lpstr>'#137'!Print_Area</vt:lpstr>
      <vt:lpstr>'#138'!Print_Area</vt:lpstr>
      <vt:lpstr>'#139'!Print_Area</vt:lpstr>
      <vt:lpstr>'#14'!Print_Area</vt:lpstr>
      <vt:lpstr>'#142'!Print_Area</vt:lpstr>
      <vt:lpstr>'#143'!Print_Area</vt:lpstr>
      <vt:lpstr>'#144'!Print_Area</vt:lpstr>
      <vt:lpstr>'#15'!Print_Area</vt:lpstr>
      <vt:lpstr>'#16'!Print_Area</vt:lpstr>
      <vt:lpstr>'#17'!Print_Area</vt:lpstr>
      <vt:lpstr>'#18'!Print_Area</vt:lpstr>
      <vt:lpstr>'#19'!Print_Area</vt:lpstr>
      <vt:lpstr>'#20'!Print_Area</vt:lpstr>
      <vt:lpstr>'#21'!Print_Area</vt:lpstr>
      <vt:lpstr>'#22'!Print_Area</vt:lpstr>
      <vt:lpstr>'#25'!Print_Area</vt:lpstr>
      <vt:lpstr>'#26'!Print_Area</vt:lpstr>
      <vt:lpstr>'#27'!Print_Area</vt:lpstr>
      <vt:lpstr>'#27 (2)'!Print_Area</vt:lpstr>
      <vt:lpstr>'#28'!Print_Area</vt:lpstr>
      <vt:lpstr>'#29'!Print_Area</vt:lpstr>
      <vt:lpstr>'#30'!Print_Area</vt:lpstr>
      <vt:lpstr>'#31'!Print_Area</vt:lpstr>
      <vt:lpstr>'#32'!Print_Area</vt:lpstr>
      <vt:lpstr>'#33'!Print_Area</vt:lpstr>
      <vt:lpstr>'#34'!Print_Area</vt:lpstr>
      <vt:lpstr>'#35'!Print_Area</vt:lpstr>
      <vt:lpstr>'#36'!Print_Area</vt:lpstr>
      <vt:lpstr>'#37'!Print_Area</vt:lpstr>
      <vt:lpstr>'#38'!Print_Area</vt:lpstr>
      <vt:lpstr>'#39'!Print_Area</vt:lpstr>
      <vt:lpstr>'#40'!Print_Area</vt:lpstr>
      <vt:lpstr>'#41'!Print_Area</vt:lpstr>
      <vt:lpstr>'#42'!Print_Area</vt:lpstr>
      <vt:lpstr>'#43'!Print_Area</vt:lpstr>
      <vt:lpstr>'#44'!Print_Area</vt:lpstr>
      <vt:lpstr>'#46'!Print_Area</vt:lpstr>
      <vt:lpstr>'#47'!Print_Area</vt:lpstr>
      <vt:lpstr>'#48'!Print_Area</vt:lpstr>
      <vt:lpstr>'#49'!Print_Area</vt:lpstr>
      <vt:lpstr>'#50'!Print_Area</vt:lpstr>
      <vt:lpstr>'#51'!Print_Area</vt:lpstr>
      <vt:lpstr>'#52'!Print_Area</vt:lpstr>
      <vt:lpstr>'#52 (2)'!Print_Area</vt:lpstr>
      <vt:lpstr>'#53'!Print_Area</vt:lpstr>
      <vt:lpstr>'#54'!Print_Area</vt:lpstr>
      <vt:lpstr>'#55'!Print_Area</vt:lpstr>
      <vt:lpstr>'#56'!Print_Area</vt:lpstr>
      <vt:lpstr>'#57'!Print_Area</vt:lpstr>
      <vt:lpstr>'#58'!Print_Area</vt:lpstr>
      <vt:lpstr>'#59'!Print_Area</vt:lpstr>
      <vt:lpstr>'#60'!Print_Area</vt:lpstr>
      <vt:lpstr>'#61'!Print_Area</vt:lpstr>
      <vt:lpstr>'#62'!Print_Area</vt:lpstr>
      <vt:lpstr>'#63'!Print_Area</vt:lpstr>
      <vt:lpstr>'#64'!Print_Area</vt:lpstr>
      <vt:lpstr>'#65'!Print_Area</vt:lpstr>
      <vt:lpstr>'#68'!Print_Area</vt:lpstr>
      <vt:lpstr>'#71'!Print_Area</vt:lpstr>
      <vt:lpstr>'#74'!Print_Area</vt:lpstr>
      <vt:lpstr>'#75'!Print_Area</vt:lpstr>
      <vt:lpstr>'#76'!Print_Area</vt:lpstr>
      <vt:lpstr>'#77'!Print_Area</vt:lpstr>
      <vt:lpstr>'#78'!Print_Area</vt:lpstr>
      <vt:lpstr>'#79'!Print_Area</vt:lpstr>
      <vt:lpstr>'#80'!Print_Area</vt:lpstr>
      <vt:lpstr>'#81'!Print_Area</vt:lpstr>
      <vt:lpstr>'#83'!Print_Area</vt:lpstr>
      <vt:lpstr>'#83 (2)'!Print_Area</vt:lpstr>
      <vt:lpstr>'#84'!Print_Area</vt:lpstr>
      <vt:lpstr>'#86'!Print_Area</vt:lpstr>
      <vt:lpstr>'#87'!Print_Area</vt:lpstr>
      <vt:lpstr>'#88'!Print_Area</vt:lpstr>
      <vt:lpstr>'#89'!Print_Area</vt:lpstr>
      <vt:lpstr>'#90'!Print_Area</vt:lpstr>
      <vt:lpstr>'#91'!Print_Area</vt:lpstr>
      <vt:lpstr>'#91 (2)'!Print_Area</vt:lpstr>
      <vt:lpstr>'#92'!Print_Area</vt:lpstr>
      <vt:lpstr>'#93'!Print_Area</vt:lpstr>
      <vt:lpstr>'#94'!Print_Area</vt:lpstr>
      <vt:lpstr>'#95'!Print_Area</vt:lpstr>
      <vt:lpstr>'#96'!Print_Area</vt:lpstr>
      <vt:lpstr>'#97'!Print_Area</vt:lpstr>
      <vt:lpstr>'#98'!Print_Area</vt:lpstr>
      <vt:lpstr>'#99'!Print_Area</vt:lpstr>
      <vt:lpstr>'118'!Print_Area</vt:lpstr>
      <vt:lpstr>'Delivery Location'!Print_Area</vt:lpstr>
      <vt:lpstr>Micron!Print_Area</vt:lpstr>
      <vt:lpstr>'Sales Master'!Print_Area</vt:lpstr>
      <vt:lpstr>'WID#126'!Print_Area</vt:lpstr>
      <vt:lpstr>凉凉!Print_Area</vt:lpstr>
      <vt:lpstr>'源兴		'!Print_Area</vt:lpstr>
      <vt:lpstr>'珍姐		'!Print_Area</vt:lpstr>
      <vt:lpstr>'顺兴 (Other)'!Print_Area</vt:lpstr>
      <vt:lpstr>'顺兴 (S)'!Print_Area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Mandy Toh</cp:lastModifiedBy>
  <cp:lastPrinted>2023-11-06T00:41:15Z</cp:lastPrinted>
  <dcterms:created xsi:type="dcterms:W3CDTF">2015-06-05T18:17:20Z</dcterms:created>
  <dcterms:modified xsi:type="dcterms:W3CDTF">2023-11-06T01:02:55Z</dcterms:modified>
</cp:coreProperties>
</file>